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055" yWindow="105" windowWidth="13995" windowHeight="10995" activeTab="0"/>
  </bookViews>
  <sheets>
    <sheet name="Prognose Finanzhilfe" sheetId="1" r:id="rId1"/>
    <sheet name="Berechnungsgrößen" sheetId="2" r:id="rId2"/>
    <sheet name="D" sheetId="3" state="hidden" r:id="rId3"/>
  </sheets>
  <definedNames>
    <definedName name="_xlnm.Print_Area" localSheetId="0">'Prognose Finanzhilfe'!$A$1:$I$47</definedName>
    <definedName name="PMESE">'D'!$D$29</definedName>
    <definedName name="PMGE">'D'!$D$31</definedName>
    <definedName name="PMKME">'D'!$D$32</definedName>
    <definedName name="PMSE">'D'!$D$33</definedName>
    <definedName name="PMSP">'D'!$D$30</definedName>
    <definedName name="SF">'D'!$F$6</definedName>
    <definedName name="StdFESE">'D'!$C$29</definedName>
    <definedName name="StdFGE">'D'!$C$31</definedName>
    <definedName name="StdFHÖ">'D'!$C$34</definedName>
    <definedName name="StdFKME">'D'!$C$32</definedName>
    <definedName name="StdFL">'D'!$C$28</definedName>
    <definedName name="StdFSE">'D'!$C$33</definedName>
    <definedName name="StdFSP">'D'!$C$30</definedName>
    <definedName name="StdGS">'D'!$C$23</definedName>
    <definedName name="StdGYI">'D'!$C$26</definedName>
    <definedName name="StdGYII">'D'!$C$27</definedName>
    <definedName name="StdHS">'D'!$C$24</definedName>
    <definedName name="StdRS">'D'!$C$25</definedName>
    <definedName name="STSFS">'D'!$C$18</definedName>
    <definedName name="StSGS">'D'!$C$14</definedName>
    <definedName name="STSGY">'D'!$C$17</definedName>
    <definedName name="STSHS">'D'!$C$15</definedName>
    <definedName name="STSPM">'D'!$C$19</definedName>
    <definedName name="STSRS">'D'!$C$16</definedName>
    <definedName name="Z_C775778F_F785_4977_8E67_E795FBC58C4D_.wvu.PrintArea" localSheetId="0" hidden="1">'Prognose Finanzhilfe'!$A$1:$I$47</definedName>
  </definedNames>
  <calcPr fullCalcOnLoad="1"/>
</workbook>
</file>

<file path=xl/sharedStrings.xml><?xml version="1.0" encoding="utf-8"?>
<sst xmlns="http://schemas.openxmlformats.org/spreadsheetml/2006/main" count="94" uniqueCount="75">
  <si>
    <t>Datengrundlagen für das Blatt Berechnung</t>
  </si>
  <si>
    <t>1. Schulformen (Quelle für das Auswahlfeld unter 1.)</t>
  </si>
  <si>
    <t>Freie Waldorfschule mit Förderschulzweig</t>
  </si>
  <si>
    <t>Internationale Schule</t>
  </si>
  <si>
    <t>Förderschule</t>
  </si>
  <si>
    <t>ausgewählt (SF)</t>
  </si>
  <si>
    <t>2. Stundensätze nach § 150 NSchG</t>
  </si>
  <si>
    <t>GS</t>
  </si>
  <si>
    <t>HS</t>
  </si>
  <si>
    <t>RS</t>
  </si>
  <si>
    <t>FöS</t>
  </si>
  <si>
    <t>GY</t>
  </si>
  <si>
    <t>PM</t>
  </si>
  <si>
    <t>. / .</t>
  </si>
  <si>
    <t>GY Sek. I</t>
  </si>
  <si>
    <t>GY Sek. II</t>
  </si>
  <si>
    <t>FöS L</t>
  </si>
  <si>
    <t>FöS ESE</t>
  </si>
  <si>
    <t>FöS SP</t>
  </si>
  <si>
    <t>FöS GE</t>
  </si>
  <si>
    <t>FöS KME</t>
  </si>
  <si>
    <t>FöS SE</t>
  </si>
  <si>
    <t>FöS HÖ</t>
  </si>
  <si>
    <t>3. Schülerstunden</t>
  </si>
  <si>
    <t>LK</t>
  </si>
  <si>
    <t>Grund-, Haupt- oder Realschule, KGS, Gymnasium</t>
  </si>
  <si>
    <t>IGS, Freie Waldorfschule ohne Förderschulzweig</t>
  </si>
  <si>
    <t>(noch keine Auswahl)</t>
  </si>
  <si>
    <t>1.  Wählen Sie bitte zunächst für Ihre Schule die Schulform bzw. -art aus</t>
  </si>
  <si>
    <r>
      <t xml:space="preserve">Unter 2. finden Sie nach Auswahl der Schulform die für das o. g. Schuljahr geltenden Berechnungsgrößen und am    </t>
    </r>
    <r>
      <rPr>
        <b/>
        <u val="single"/>
        <sz val="8"/>
        <color indexed="10"/>
        <rFont val="Arial"/>
        <family val="2"/>
      </rPr>
      <t>Ende der Seite wichtige Hinweise</t>
    </r>
    <r>
      <rPr>
        <u val="single"/>
        <sz val="8"/>
        <rFont val="Arial"/>
        <family val="0"/>
      </rPr>
      <t>!</t>
    </r>
  </si>
  <si>
    <t xml:space="preserve">Lehrpersonal an </t>
  </si>
  <si>
    <t>Grundschulen</t>
  </si>
  <si>
    <t>Hauptschulen</t>
  </si>
  <si>
    <t>Realschulen</t>
  </si>
  <si>
    <t>Gymnasien</t>
  </si>
  <si>
    <t>Förderschulen</t>
  </si>
  <si>
    <t>Zusatzpersonal an Förderschulen</t>
  </si>
  <si>
    <t>1.</t>
  </si>
  <si>
    <t>2.</t>
  </si>
  <si>
    <t>Förderschulen mit dem Schwerpunkt</t>
  </si>
  <si>
    <t xml:space="preserve"> - Lernen</t>
  </si>
  <si>
    <t xml:space="preserve"> - Sprache</t>
  </si>
  <si>
    <t xml:space="preserve"> - Geistige Entwicklung</t>
  </si>
  <si>
    <t xml:space="preserve"> - Körperliche und motorische Entw.</t>
  </si>
  <si>
    <t xml:space="preserve"> - Emotionale u. soziale Entw.</t>
  </si>
  <si>
    <t xml:space="preserve"> - Sehen</t>
  </si>
  <si>
    <t xml:space="preserve"> - Hören</t>
  </si>
  <si>
    <t>Gymnasien, Sek. I</t>
  </si>
  <si>
    <t>Gymnasien, Sek. II</t>
  </si>
  <si>
    <t>Lehrpersonal</t>
  </si>
  <si>
    <t>Zusatzpersonal</t>
  </si>
  <si>
    <t>./.</t>
  </si>
  <si>
    <t>3.</t>
  </si>
  <si>
    <t>Gesetzliche Arbeitslosenversicherung</t>
  </si>
  <si>
    <t>Gesetzliche Krankenversicherung</t>
  </si>
  <si>
    <t>Gesetzliche Pflegeversicherung</t>
  </si>
  <si>
    <t>Gesetzliche Rentenversicherung</t>
  </si>
  <si>
    <t>Vomhundertsatz VBLU e. V.</t>
  </si>
  <si>
    <t>Summe der Prozentsätze</t>
  </si>
  <si>
    <t>[SGB III]</t>
  </si>
  <si>
    <t>[SGB XI]</t>
  </si>
  <si>
    <t>[SGB VI]</t>
  </si>
  <si>
    <t>[Satzung VBLU]</t>
  </si>
  <si>
    <t>[AOK Niedersachsen]</t>
  </si>
  <si>
    <t>Niedersächsisches Kultusministerium (Ref. 24)</t>
  </si>
  <si>
    <r>
      <t xml:space="preserve">Auf dieser Seite können Sie die Höhe des Grundbetrages, die maximale Höhe des Erhöhungsbetrages und die maximale Höhe der Finanzhilfe für Ihre Schule prognostizieren. Erforderlich ist dazu nur, dass Sie unter </t>
    </r>
    <r>
      <rPr>
        <b/>
        <u val="single"/>
        <sz val="8"/>
        <color indexed="12"/>
        <rFont val="Arial"/>
        <family val="2"/>
      </rPr>
      <t>1. die entsprechende Schulform auswählen</t>
    </r>
    <r>
      <rPr>
        <sz val="8"/>
        <color indexed="12"/>
        <rFont val="Arial"/>
        <family val="2"/>
      </rPr>
      <t xml:space="preserve"> </t>
    </r>
    <r>
      <rPr>
        <sz val="8"/>
        <rFont val="Arial"/>
        <family val="0"/>
      </rPr>
      <t xml:space="preserve">und anschließend unter </t>
    </r>
    <r>
      <rPr>
        <b/>
        <u val="single"/>
        <sz val="8"/>
        <color indexed="12"/>
        <rFont val="Arial"/>
        <family val="2"/>
      </rPr>
      <t>3. die Daten Ihrer Schule</t>
    </r>
    <r>
      <rPr>
        <b/>
        <sz val="8"/>
        <rFont val="Arial"/>
        <family val="2"/>
      </rPr>
      <t xml:space="preserve"> </t>
    </r>
    <r>
      <rPr>
        <sz val="8"/>
        <rFont val="Arial"/>
        <family val="0"/>
      </rPr>
      <t>in den grün hinterlegten Feldern eingeben.</t>
    </r>
  </si>
  <si>
    <t>Stundensätze nach § 150 Abs. 3 Satz 2 Niedersächsisches Schulgesetz</t>
  </si>
  <si>
    <t>Schülerstunden nach Anlage 1 zu § 1 Abs. 1 Finanzhilfeverordnung</t>
  </si>
  <si>
    <t>Prozentsätze nach § 150 Abs. 8 Satz 2 Niedersächsisches Schulgesetz</t>
  </si>
  <si>
    <t>Version 2008/09.endg, akt. 30.07.2008</t>
  </si>
  <si>
    <t>Stand: 01.08.2008</t>
  </si>
  <si>
    <t>Berechnungsgrößen für die Finanzhilfe für allgemein bildende Schulen in freier Trägerschaft für das Schuljahr 2008/09</t>
  </si>
  <si>
    <t>(nach Stand des Besoldungsrechts am 01.08.2008)</t>
  </si>
  <si>
    <t>(nach Stand am 01.08.2008)</t>
  </si>
  <si>
    <t>Finanzhilfeprognose für allgemein bildende Schulen in  freier Trägerschaft für das Schuljahr 2008/09</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</si>
</sst>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 &quot;€&quot;"/>
    <numFmt numFmtId="169" formatCode="#,##0.0"/>
    <numFmt numFmtId="170" formatCode="0.000"/>
  </numFmts>
  <fonts count="25">
    <font>
      <sz val="10"/>
      <name val="Arial"/>
      <family val="0"/>
    </font>
    <font>
      <sz val="8"/>
      <name val="Tahoma"/>
      <family val="2"/>
    </font>
    <font>
      <b/>
      <sz val="10"/>
      <name val="Arial"/>
      <family val="2"/>
    </font>
    <font>
      <sz val="8"/>
      <name val="Arial"/>
      <family val="0"/>
    </font>
    <font>
      <b/>
      <sz val="8"/>
      <name val="Arial"/>
      <family val="0"/>
    </font>
    <font>
      <sz val="9"/>
      <color indexed="8"/>
      <name val="Arial"/>
      <family val="2"/>
    </font>
    <font>
      <sz val="8"/>
      <color indexed="8"/>
      <name val="Arial"/>
      <family val="2"/>
    </font>
    <font>
      <b/>
      <sz val="8"/>
      <color indexed="10"/>
      <name val="Arial"/>
      <family val="2"/>
    </font>
    <font>
      <b/>
      <sz val="8"/>
      <color indexed="8"/>
      <name val="Arial"/>
      <family val="2"/>
    </font>
    <font>
      <b/>
      <sz val="9"/>
      <color indexed="8"/>
      <name val="Arial"/>
      <family val="2"/>
    </font>
    <font>
      <u val="single"/>
      <sz val="8"/>
      <name val="Arial"/>
      <family val="0"/>
    </font>
    <font>
      <b/>
      <u val="single"/>
      <sz val="8"/>
      <color indexed="10"/>
      <name val="Arial"/>
      <family val="2"/>
    </font>
    <font>
      <b/>
      <sz val="9"/>
      <color indexed="12"/>
      <name val="Arial"/>
      <family val="2"/>
    </font>
    <font>
      <b/>
      <sz val="8"/>
      <color indexed="12"/>
      <name val="Arial"/>
      <family val="2"/>
    </font>
    <font>
      <sz val="8"/>
      <color indexed="12"/>
      <name val="Arial"/>
      <family val="2"/>
    </font>
    <font>
      <b/>
      <sz val="10"/>
      <color indexed="12"/>
      <name val="Arial"/>
      <family val="2"/>
    </font>
    <font>
      <sz val="10"/>
      <color indexed="12"/>
      <name val="Arial"/>
      <family val="2"/>
    </font>
    <font>
      <sz val="8"/>
      <color indexed="10"/>
      <name val="Arial"/>
      <family val="2"/>
    </font>
    <font>
      <b/>
      <u val="single"/>
      <sz val="8"/>
      <color indexed="12"/>
      <name val="Arial"/>
      <family val="2"/>
    </font>
    <font>
      <sz val="9"/>
      <name val="Arial"/>
      <family val="2"/>
    </font>
    <font>
      <b/>
      <u val="single"/>
      <sz val="10"/>
      <name val="Arial"/>
      <family val="2"/>
    </font>
    <font>
      <u val="single"/>
      <sz val="10"/>
      <name val="Arial"/>
      <family val="0"/>
    </font>
    <font>
      <sz val="7"/>
      <color indexed="55"/>
      <name val="Arial"/>
      <family val="0"/>
    </font>
    <font>
      <sz val="10"/>
      <color indexed="9"/>
      <name val="Arial"/>
      <family val="0"/>
    </font>
    <font>
      <sz val="7"/>
      <name val="Arial"/>
      <family val="0"/>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xf>
    <xf numFmtId="0" fontId="2" fillId="0" borderId="0" xfId="0" applyFont="1" applyAlignment="1">
      <alignment/>
    </xf>
    <xf numFmtId="0" fontId="3" fillId="2" borderId="0" xfId="0" applyFont="1" applyFill="1" applyAlignment="1">
      <alignment/>
    </xf>
    <xf numFmtId="0" fontId="3" fillId="2" borderId="0" xfId="0" applyFont="1" applyFill="1" applyAlignment="1">
      <alignment horizontal="center"/>
    </xf>
    <xf numFmtId="0" fontId="4" fillId="2" borderId="0" xfId="0" applyFont="1" applyFill="1" applyAlignment="1">
      <alignment/>
    </xf>
    <xf numFmtId="4" fontId="3" fillId="2" borderId="0" xfId="0" applyNumberFormat="1" applyFont="1" applyFill="1" applyAlignment="1">
      <alignment horizontal="center"/>
    </xf>
    <xf numFmtId="1" fontId="0" fillId="3" borderId="1" xfId="0" applyNumberFormat="1" applyFill="1" applyBorder="1" applyAlignment="1">
      <alignment horizontal="center"/>
    </xf>
    <xf numFmtId="0" fontId="2" fillId="0" borderId="2" xfId="0" applyFont="1" applyBorder="1" applyAlignment="1">
      <alignment/>
    </xf>
    <xf numFmtId="0" fontId="0" fillId="0" borderId="3" xfId="0" applyBorder="1" applyAlignment="1">
      <alignment/>
    </xf>
    <xf numFmtId="0" fontId="0" fillId="0" borderId="4" xfId="0" applyBorder="1" applyAlignment="1">
      <alignment/>
    </xf>
    <xf numFmtId="0" fontId="0" fillId="3" borderId="0"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1" xfId="0" applyFill="1" applyBorder="1" applyAlignment="1">
      <alignment/>
    </xf>
    <xf numFmtId="0" fontId="2" fillId="0" borderId="7" xfId="0" applyFont="1" applyBorder="1" applyAlignment="1">
      <alignment/>
    </xf>
    <xf numFmtId="0" fontId="0" fillId="0" borderId="8" xfId="0" applyBorder="1" applyAlignment="1">
      <alignment/>
    </xf>
    <xf numFmtId="0" fontId="0" fillId="0" borderId="9" xfId="0" applyBorder="1" applyAlignment="1">
      <alignment/>
    </xf>
    <xf numFmtId="0" fontId="0" fillId="0" borderId="9" xfId="0" applyBorder="1" applyAlignment="1">
      <alignment horizontal="center"/>
    </xf>
    <xf numFmtId="0" fontId="0" fillId="0" borderId="10" xfId="0" applyFill="1" applyBorder="1" applyAlignment="1">
      <alignment/>
    </xf>
    <xf numFmtId="4" fontId="0" fillId="3" borderId="0" xfId="0" applyNumberFormat="1" applyFill="1" applyBorder="1" applyAlignment="1">
      <alignment/>
    </xf>
    <xf numFmtId="0" fontId="0" fillId="0" borderId="5" xfId="0" applyBorder="1" applyAlignment="1">
      <alignment/>
    </xf>
    <xf numFmtId="0" fontId="0" fillId="0" borderId="11" xfId="0" applyFill="1" applyBorder="1" applyAlignment="1">
      <alignment/>
    </xf>
    <xf numFmtId="4" fontId="0" fillId="3" borderId="6" xfId="0" applyNumberFormat="1" applyFill="1" applyBorder="1" applyAlignment="1">
      <alignment/>
    </xf>
    <xf numFmtId="0" fontId="0" fillId="0" borderId="1" xfId="0" applyBorder="1" applyAlignment="1">
      <alignment/>
    </xf>
    <xf numFmtId="0" fontId="2" fillId="0" borderId="7" xfId="0" applyFont="1" applyFill="1" applyBorder="1" applyAlignment="1">
      <alignment/>
    </xf>
    <xf numFmtId="0" fontId="6" fillId="0" borderId="1" xfId="0" applyFont="1" applyBorder="1" applyAlignment="1">
      <alignment horizontal="center" vertical="top" wrapText="1"/>
    </xf>
    <xf numFmtId="0" fontId="0" fillId="0" borderId="0" xfId="0" applyBorder="1" applyAlignment="1">
      <alignment/>
    </xf>
    <xf numFmtId="0" fontId="5" fillId="0" borderId="0" xfId="0" applyFont="1" applyBorder="1" applyAlignment="1">
      <alignment horizontal="left" vertical="top" wrapText="1" indent="1"/>
    </xf>
    <xf numFmtId="0" fontId="6" fillId="0" borderId="0" xfId="0" applyFont="1" applyBorder="1" applyAlignment="1">
      <alignment horizontal="left" vertical="top" wrapText="1" indent="1"/>
    </xf>
    <xf numFmtId="0" fontId="5" fillId="0" borderId="10" xfId="0" applyFont="1" applyBorder="1" applyAlignment="1">
      <alignment horizontal="left" vertical="top" wrapText="1" indent="1"/>
    </xf>
    <xf numFmtId="0" fontId="6" fillId="0" borderId="5" xfId="0" applyFont="1" applyBorder="1" applyAlignment="1">
      <alignment horizontal="center" vertical="top" wrapText="1"/>
    </xf>
    <xf numFmtId="0" fontId="6" fillId="0" borderId="10" xfId="0" applyFont="1" applyBorder="1" applyAlignment="1">
      <alignment horizontal="left" vertical="top" wrapText="1" indent="1"/>
    </xf>
    <xf numFmtId="0" fontId="6" fillId="0" borderId="11" xfId="0" applyFont="1" applyBorder="1" applyAlignment="1">
      <alignment horizontal="left" vertical="top" wrapText="1" indent="1"/>
    </xf>
    <xf numFmtId="0" fontId="0" fillId="0" borderId="12" xfId="0"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7" fillId="2" borderId="0" xfId="0" applyFont="1" applyFill="1" applyAlignment="1">
      <alignment/>
    </xf>
    <xf numFmtId="0" fontId="3" fillId="2" borderId="0" xfId="0" applyFont="1" applyFill="1" applyBorder="1" applyAlignment="1">
      <alignment/>
    </xf>
    <xf numFmtId="0" fontId="3" fillId="2" borderId="0" xfId="0" applyFont="1" applyFill="1" applyBorder="1" applyAlignment="1">
      <alignment/>
    </xf>
    <xf numFmtId="0" fontId="4" fillId="2" borderId="0" xfId="0" applyFont="1" applyFill="1" applyBorder="1" applyAlignment="1">
      <alignment/>
    </xf>
    <xf numFmtId="0" fontId="3" fillId="2" borderId="0" xfId="0" applyFont="1" applyFill="1" applyBorder="1" applyAlignment="1">
      <alignment horizontal="centerContinuous"/>
    </xf>
    <xf numFmtId="0" fontId="4" fillId="2" borderId="0" xfId="0" applyFont="1" applyFill="1" applyBorder="1" applyAlignment="1">
      <alignment horizontal="center"/>
    </xf>
    <xf numFmtId="168" fontId="3" fillId="2" borderId="0" xfId="0" applyNumberFormat="1" applyFont="1" applyFill="1" applyBorder="1" applyAlignment="1">
      <alignment horizontal="center"/>
    </xf>
    <xf numFmtId="2" fontId="3" fillId="2" borderId="0" xfId="0" applyNumberFormat="1" applyFont="1" applyFill="1" applyBorder="1" applyAlignment="1">
      <alignment horizontal="center"/>
    </xf>
    <xf numFmtId="168" fontId="4" fillId="2" borderId="0" xfId="0" applyNumberFormat="1" applyFont="1" applyFill="1" applyBorder="1" applyAlignment="1">
      <alignment horizontal="center"/>
    </xf>
    <xf numFmtId="168" fontId="3" fillId="2" borderId="0" xfId="0" applyNumberFormat="1" applyFont="1" applyFill="1" applyBorder="1" applyAlignment="1">
      <alignment horizontal="center"/>
    </xf>
    <xf numFmtId="0" fontId="9" fillId="2" borderId="0" xfId="0" applyFont="1" applyFill="1" applyAlignment="1">
      <alignment/>
    </xf>
    <xf numFmtId="0" fontId="2" fillId="3" borderId="10" xfId="0" applyFont="1" applyFill="1" applyBorder="1" applyAlignment="1">
      <alignment/>
    </xf>
    <xf numFmtId="169" fontId="3" fillId="2" borderId="0" xfId="0" applyNumberFormat="1" applyFont="1" applyFill="1" applyBorder="1" applyAlignment="1" applyProtection="1">
      <alignment horizontal="center"/>
      <protection locked="0"/>
    </xf>
    <xf numFmtId="0" fontId="8" fillId="2" borderId="0" xfId="0" applyFont="1" applyFill="1" applyBorder="1" applyAlignment="1">
      <alignment/>
    </xf>
    <xf numFmtId="0" fontId="2" fillId="3" borderId="0" xfId="0" applyFont="1" applyFill="1" applyBorder="1" applyAlignment="1">
      <alignment/>
    </xf>
    <xf numFmtId="0" fontId="2" fillId="3" borderId="11" xfId="0" applyFont="1" applyFill="1" applyBorder="1" applyAlignment="1">
      <alignment/>
    </xf>
    <xf numFmtId="0" fontId="2" fillId="3" borderId="6" xfId="0" applyFont="1" applyFill="1" applyBorder="1" applyAlignment="1">
      <alignment/>
    </xf>
    <xf numFmtId="0" fontId="3" fillId="2" borderId="0" xfId="0" applyFont="1" applyFill="1" applyAlignment="1">
      <alignment/>
    </xf>
    <xf numFmtId="4" fontId="3" fillId="2" borderId="0" xfId="0" applyNumberFormat="1" applyFont="1" applyFill="1" applyBorder="1" applyAlignment="1">
      <alignment horizontal="center"/>
    </xf>
    <xf numFmtId="168" fontId="4" fillId="2" borderId="0" xfId="0" applyNumberFormat="1" applyFont="1" applyFill="1" applyBorder="1" applyAlignment="1">
      <alignment/>
    </xf>
    <xf numFmtId="0" fontId="6" fillId="2" borderId="0" xfId="0" applyFont="1" applyFill="1" applyBorder="1" applyAlignment="1">
      <alignment horizontal="center"/>
    </xf>
    <xf numFmtId="0" fontId="13" fillId="2" borderId="0" xfId="0" applyFont="1" applyFill="1" applyBorder="1" applyAlignment="1">
      <alignment horizontal="left" vertical="center"/>
    </xf>
    <xf numFmtId="0" fontId="15" fillId="2" borderId="0" xfId="0" applyFont="1" applyFill="1" applyAlignment="1">
      <alignment vertical="center"/>
    </xf>
    <xf numFmtId="0" fontId="16" fillId="2" borderId="0" xfId="0" applyFont="1" applyFill="1" applyBorder="1" applyAlignment="1">
      <alignment horizontal="centerContinuous" vertical="center"/>
    </xf>
    <xf numFmtId="0" fontId="0" fillId="2" borderId="0" xfId="0" applyFont="1" applyFill="1" applyAlignment="1">
      <alignment vertical="center"/>
    </xf>
    <xf numFmtId="0" fontId="11" fillId="2" borderId="0" xfId="0" applyFont="1" applyFill="1" applyAlignment="1">
      <alignment/>
    </xf>
    <xf numFmtId="169" fontId="3" fillId="2" borderId="0" xfId="0" applyNumberFormat="1" applyFont="1" applyFill="1" applyAlignment="1">
      <alignment horizontal="center"/>
    </xf>
    <xf numFmtId="0" fontId="8" fillId="2" borderId="0" xfId="0" applyFont="1" applyFill="1" applyBorder="1" applyAlignment="1">
      <alignment horizontal="center"/>
    </xf>
    <xf numFmtId="0" fontId="2" fillId="2" borderId="0" xfId="0" applyFont="1" applyFill="1" applyAlignment="1">
      <alignment vertical="top"/>
    </xf>
    <xf numFmtId="0" fontId="2" fillId="2" borderId="0" xfId="0" applyFont="1" applyFill="1" applyAlignment="1">
      <alignment horizontal="right" vertical="top"/>
    </xf>
    <xf numFmtId="14" fontId="19" fillId="2" borderId="0" xfId="0" applyNumberFormat="1" applyFont="1" applyFill="1" applyAlignment="1">
      <alignment vertical="top"/>
    </xf>
    <xf numFmtId="0" fontId="6" fillId="2" borderId="0" xfId="0" applyFont="1" applyFill="1" applyAlignment="1">
      <alignment/>
    </xf>
    <xf numFmtId="0" fontId="2" fillId="2" borderId="0" xfId="0" applyFont="1" applyFill="1" applyAlignment="1">
      <alignment/>
    </xf>
    <xf numFmtId="0" fontId="0" fillId="2" borderId="0" xfId="0" applyFill="1" applyAlignment="1">
      <alignment/>
    </xf>
    <xf numFmtId="0" fontId="0" fillId="2" borderId="0" xfId="0" applyFill="1" applyAlignment="1">
      <alignment horizontal="right"/>
    </xf>
    <xf numFmtId="0" fontId="21" fillId="2" borderId="0" xfId="0" applyFont="1" applyFill="1" applyAlignment="1">
      <alignment/>
    </xf>
    <xf numFmtId="168" fontId="0" fillId="2" borderId="0" xfId="0" applyNumberFormat="1" applyFill="1" applyAlignment="1">
      <alignment/>
    </xf>
    <xf numFmtId="0" fontId="0" fillId="2" borderId="0" xfId="0" applyFill="1" applyAlignment="1">
      <alignment horizontal="center"/>
    </xf>
    <xf numFmtId="2" fontId="0" fillId="2" borderId="0" xfId="0" applyNumberFormat="1" applyFill="1" applyAlignment="1">
      <alignment horizontal="center"/>
    </xf>
    <xf numFmtId="0" fontId="22" fillId="2" borderId="0" xfId="0" applyFont="1" applyFill="1" applyAlignment="1">
      <alignment/>
    </xf>
    <xf numFmtId="0" fontId="23" fillId="2" borderId="0" xfId="0" applyFont="1" applyFill="1" applyAlignment="1">
      <alignment/>
    </xf>
    <xf numFmtId="0" fontId="24" fillId="2" borderId="0" xfId="0" applyFont="1" applyFill="1" applyAlignment="1">
      <alignment/>
    </xf>
    <xf numFmtId="2" fontId="6" fillId="3" borderId="0" xfId="0" applyNumberFormat="1" applyFont="1" applyFill="1" applyBorder="1" applyAlignment="1">
      <alignment horizontal="center" vertical="top" wrapText="1"/>
    </xf>
    <xf numFmtId="2" fontId="6" fillId="3" borderId="6" xfId="0" applyNumberFormat="1" applyFont="1" applyFill="1" applyBorder="1" applyAlignment="1">
      <alignment horizontal="center" vertical="top" wrapText="1"/>
    </xf>
    <xf numFmtId="2" fontId="6" fillId="3" borderId="5" xfId="0" applyNumberFormat="1" applyFont="1" applyFill="1" applyBorder="1" applyAlignment="1">
      <alignment horizontal="center" vertical="top" wrapText="1"/>
    </xf>
    <xf numFmtId="170" fontId="0" fillId="2" borderId="0" xfId="0" applyNumberFormat="1" applyFill="1" applyAlignment="1">
      <alignment horizontal="center"/>
    </xf>
    <xf numFmtId="0" fontId="3" fillId="2" borderId="0" xfId="0" applyFont="1" applyFill="1" applyAlignment="1">
      <alignment vertical="top" wrapText="1"/>
    </xf>
    <xf numFmtId="0" fontId="10" fillId="2" borderId="0" xfId="0" applyFont="1" applyFill="1" applyAlignment="1">
      <alignment vertical="top" wrapText="1"/>
    </xf>
    <xf numFmtId="0" fontId="17" fillId="2" borderId="0" xfId="0" applyFont="1" applyFill="1" applyAlignment="1">
      <alignment wrapText="1"/>
    </xf>
    <xf numFmtId="0" fontId="17" fillId="2" borderId="0" xfId="0" applyFont="1" applyFill="1" applyAlignment="1">
      <alignment/>
    </xf>
    <xf numFmtId="0" fontId="12" fillId="2" borderId="0" xfId="0" applyFont="1" applyFill="1" applyAlignment="1">
      <alignment/>
    </xf>
    <xf numFmtId="0" fontId="20" fillId="2" borderId="0" xfId="0" applyFont="1" applyFill="1" applyAlignment="1">
      <alignment horizontal="center" wrapText="1"/>
    </xf>
  </cellXfs>
  <cellStyles count="6">
    <cellStyle name="Normal" xfId="0"/>
    <cellStyle name="Comma" xfId="15"/>
    <cellStyle name="Comma [0]" xfId="16"/>
    <cellStyle name="Percent" xfId="17"/>
    <cellStyle name="Currency" xfId="18"/>
    <cellStyle name="Currency [0]" xfId="19"/>
  </cellStyles>
  <dxfs count="10">
    <dxf>
      <fill>
        <patternFill patternType="gray0625"/>
      </fill>
      <border>
        <left style="thin">
          <color rgb="FF000000"/>
        </left>
        <right style="thin">
          <color rgb="FF000000"/>
        </right>
        <top style="thin"/>
        <bottom style="thin">
          <color rgb="FF000000"/>
        </bottom>
      </border>
    </dxf>
    <dxf>
      <font>
        <color rgb="FFFFFFFF"/>
      </font>
      <border>
        <left style="thin">
          <color rgb="FF000000"/>
        </left>
        <right style="thin">
          <color rgb="FF000000"/>
        </right>
        <top style="thin"/>
        <bottom style="thin">
          <color rgb="FF000000"/>
        </bottom>
      </border>
    </dxf>
    <dxf>
      <fill>
        <patternFill patternType="gray0625"/>
      </fill>
      <border>
        <left style="thin">
          <color rgb="FF000000"/>
        </left>
        <right>
          <color rgb="FF000000"/>
        </right>
        <top style="thin"/>
        <bottom style="thin">
          <color rgb="FF000000"/>
        </bottom>
      </border>
    </dxf>
    <dxf>
      <fill>
        <patternFill patternType="gray0625"/>
      </fill>
      <border>
        <left>
          <color rgb="FF000000"/>
        </left>
        <right>
          <color rgb="FF000000"/>
        </right>
        <top style="thin"/>
        <bottom style="thin">
          <color rgb="FF000000"/>
        </bottom>
      </border>
    </dxf>
    <dxf>
      <fill>
        <patternFill>
          <bgColor rgb="FFCCFFCC"/>
        </patternFill>
      </fill>
      <border>
        <left style="thin">
          <color rgb="FF000000"/>
        </left>
        <right style="thin">
          <color rgb="FF000000"/>
        </right>
        <top style="thin"/>
        <bottom style="thin">
          <color rgb="FF000000"/>
        </bottom>
      </border>
    </dxf>
    <dxf>
      <border>
        <left style="thin">
          <color rgb="FF000000"/>
        </left>
        <right style="thin">
          <color rgb="FF000000"/>
        </right>
        <top style="thin">
          <color rgb="FF000000"/>
        </top>
        <bottom>
          <color rgb="FF000000"/>
        </bottom>
      </border>
    </dxf>
    <dxf>
      <border>
        <left style="thin">
          <color rgb="FF000000"/>
        </left>
        <right style="thin">
          <color rgb="FF000000"/>
        </right>
        <bottom style="thin">
          <color rgb="FF000000"/>
        </bottom>
      </border>
    </dxf>
    <dxf>
      <font>
        <color rgb="FFFFFFFF"/>
      </font>
      <fill>
        <patternFill>
          <bgColor rgb="FFFFFFFF"/>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gray0625"/>
      </fill>
      <border>
        <left>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I47"/>
  <sheetViews>
    <sheetView showRowColHeaders="0" tabSelected="1" workbookViewId="0" topLeftCell="A1">
      <selection activeCell="B20" sqref="B20"/>
    </sheetView>
  </sheetViews>
  <sheetFormatPr defaultColWidth="11.421875" defaultRowHeight="12.75"/>
  <cols>
    <col min="1" max="1" width="36.421875" style="2" customWidth="1"/>
    <col min="2" max="8" width="11.7109375" style="2" customWidth="1"/>
    <col min="9" max="16384" width="11.421875" style="2" customWidth="1"/>
  </cols>
  <sheetData>
    <row r="1" spans="1:8" ht="15" customHeight="1">
      <c r="A1" s="64" t="s">
        <v>74</v>
      </c>
      <c r="B1" s="64"/>
      <c r="C1" s="64"/>
      <c r="D1" s="64"/>
      <c r="E1" s="64"/>
      <c r="F1" s="65"/>
      <c r="H1" s="66">
        <f ca="1">TODAY()</f>
        <v>39659</v>
      </c>
    </row>
    <row r="2" spans="1:8" ht="34.5" customHeight="1">
      <c r="A2" s="82" t="s">
        <v>65</v>
      </c>
      <c r="B2" s="82"/>
      <c r="C2" s="82"/>
      <c r="D2" s="82"/>
      <c r="E2" s="82"/>
      <c r="F2" s="82"/>
      <c r="G2" s="82"/>
      <c r="H2" s="82"/>
    </row>
    <row r="3" spans="1:8" ht="11.25">
      <c r="A3" s="83" t="s">
        <v>29</v>
      </c>
      <c r="B3" s="83"/>
      <c r="C3" s="83"/>
      <c r="D3" s="83"/>
      <c r="E3" s="83"/>
      <c r="F3" s="83"/>
      <c r="G3" s="83"/>
      <c r="H3" s="83"/>
    </row>
    <row r="4" spans="1:3" ht="12">
      <c r="A4" s="86" t="s">
        <v>28</v>
      </c>
      <c r="B4" s="86"/>
      <c r="C4" s="86"/>
    </row>
    <row r="5" ht="11.25">
      <c r="G5" s="77" t="s">
        <v>69</v>
      </c>
    </row>
    <row r="6" ht="11.25" customHeight="1">
      <c r="A6" s="53"/>
    </row>
    <row r="7" spans="1:8" ht="2.25" customHeight="1">
      <c r="A7" s="38"/>
      <c r="C7" s="40"/>
      <c r="D7" s="40"/>
      <c r="E7" s="40"/>
      <c r="F7" s="40"/>
      <c r="G7" s="40"/>
      <c r="H7" s="40"/>
    </row>
    <row r="8" spans="1:9" ht="12">
      <c r="A8" s="46">
        <f>IF(SF=1,"","2. Maßgebliche Größen für die Berechnung")</f>
      </c>
      <c r="B8" s="63">
        <f>IF(SF=1,"",IF(SF=2,"GS",IF(OR(SF=3,SF=4,SF=5),"Primarb.",IF(SF=6,"FöS L",))))</f>
      </c>
      <c r="C8" s="63">
        <f>IF(SF=1,"",IF(SF=2,"HS",IF(OR(SF=3,SF=4,SF=5),"Sek. I",IF(SF=6,"FöS ESE"))))</f>
      </c>
      <c r="D8" s="63">
        <f>IF(SF=2,"RS",IF(OR(SF=3,SF=4,SF=5),"Sek. II",IF(SF=6,"FöS SP","")))</f>
      </c>
      <c r="E8" s="63">
        <f>IF(SF=2,"GY-Sek. I",IF(SF=4,"FöS L",IF(SF=6,"FöS GE","")))</f>
      </c>
      <c r="F8" s="63">
        <f>IF(SF=2,"GY-Sek. II",IF(SF=4,"FöS ESE",IF(SF=6,"FöS KME","")))</f>
      </c>
      <c r="G8" s="63">
        <f>IF(SF=4,"FöS GE",IF(SF=6,"FöS SE",""))</f>
      </c>
      <c r="H8" s="63">
        <f>IF(SF=4,"FöS KME",IF(SF=6,"FöS HÖ",""))</f>
      </c>
      <c r="I8" s="3"/>
    </row>
    <row r="9" spans="1:8" s="4" customFormat="1" ht="11.25">
      <c r="A9" s="39">
        <f>IF(SF=1,"","Schülerbetrag nach öffentlichen Schulen")</f>
      </c>
      <c r="B9" s="44">
        <f>IF(OR(SF=2,SF=3,SF=4,SF=5),StdGS*StSGS,IF(SF=6,StdFL*STSFS,""))</f>
      </c>
      <c r="C9" s="44">
        <f>IF(SF=2,StdHS*STSHS,IF(OR(SF=3,SF=4,SF=5),StdGYI*STSGY,IF(SF=6,StdFESE*STSFS+PMESE*STSPM,"")))</f>
      </c>
      <c r="D9" s="44">
        <f>IF(SF=2,StdRS*STSRS,IF(OR(SF=3,SF=4,SF=5),StdGYII*STSGY,IF(SF=6,StdFSP*STSFS+PMSP*STSPM,"")))</f>
      </c>
      <c r="E9" s="44">
        <f>IF(SF=2,StdGYI*STSGY,IF(SF=4,StdFL*STSFS,IF(SF=6,StdFGE*STSFS+PMGE*STSPM,"")))</f>
      </c>
      <c r="F9" s="44">
        <f>IF(SF=2,StdGYII*STSGY,IF(SF=4,StdFESE*STSFS+PMESE*STSPM,IF(SF=6,StdFKME*STSFS+PMKME*STSPM,"")))</f>
      </c>
      <c r="G9" s="44">
        <f>IF(SF=4,StdFGE*STSFS+PMGE*STSPM,IF(SF=6,StdFSE*STSFS+PMSE*STSPM,""))</f>
      </c>
      <c r="H9" s="44">
        <f>IF(SF=4,StdFKME*STSFS+PMKME*STSPM,IF(SF=6,StdFHÖ*STSFS,""))</f>
      </c>
    </row>
    <row r="10" spans="1:9" ht="11.25">
      <c r="A10" s="67">
        <f>IF(SF=1,"",IF(OR(SF=4,SF=6),"2.1.  für Lehrkräfte aus","aus"))</f>
      </c>
      <c r="B10" s="41"/>
      <c r="C10" s="41"/>
      <c r="D10" s="41"/>
      <c r="E10" s="41"/>
      <c r="F10" s="41"/>
      <c r="G10" s="41"/>
      <c r="H10" s="41"/>
      <c r="I10" s="3"/>
    </row>
    <row r="11" spans="1:8" ht="11.25">
      <c r="A11" s="38">
        <f>IF(SF=1,"","Stundensatz lt. § 150 NSchG ")</f>
      </c>
      <c r="B11" s="42">
        <f>IF(OR(SF=2,SF=3,SF=4,SF=5),StSGS,IF(SF=6,STSFS,""))</f>
      </c>
      <c r="C11" s="42">
        <f>IF(SF=2,STSHS,IF(OR(SF=3,SF=4,SF=5),STSGY,IF(SF=6,STSFS,"")))</f>
      </c>
      <c r="D11" s="42">
        <f>IF(SF=2,STSRS,IF(OR(SF=3,SF=4,SF=5),STSGY,IF(SF=6,STSFS,"")))</f>
      </c>
      <c r="E11" s="42">
        <f>IF(SF=2,STSGY,IF(OR(SF=4,SF=6),STSFS,""))</f>
      </c>
      <c r="F11" s="42">
        <f>IF(SF=2,STSGY,IF(OR(SF=4,SF=6),STSFS,""))</f>
      </c>
      <c r="G11" s="42">
        <f>IF(OR(SF=4,SF=6),STSFS,"")</f>
      </c>
      <c r="H11" s="42">
        <f>IF(OR(SF=4,SF=6),STSFS,"")</f>
      </c>
    </row>
    <row r="12" spans="1:8" ht="11.25">
      <c r="A12" s="38">
        <f>IF(SF=1,"","mal Schülerstunden lt. § 1 FH-VO")</f>
      </c>
      <c r="B12" s="43">
        <f>IF(OR(SF=2,SF=3,SF=4,SF=5),StdGS,IF(SF=6,StdFL,""))</f>
      </c>
      <c r="C12" s="43">
        <f>IF(SF=2,StdHS,IF(OR(SF=3,SF=4,SF=5),StdGYI,IF(SF=6,StdFESE,"")))</f>
      </c>
      <c r="D12" s="43">
        <f>IF(SF=2,StdRS,IF(OR(SF=3,SF=4,SF=5),StdGYII,IF(SF=6,StdFSP,"")))</f>
      </c>
      <c r="E12" s="43">
        <f>IF(SF=2,StdGYI,IF(SF=4,StdFL,IF(SF=6,StdFGE,"")))</f>
      </c>
      <c r="F12" s="43">
        <f>IF(SF=2,StdGYII,IF(SF=4,StdFESE,IF(SF=6,StdFKME,"")))</f>
      </c>
      <c r="G12" s="43">
        <f>IF(SF=4,StdFGE,IF(SF=6,StdFSE,""))</f>
      </c>
      <c r="H12" s="43">
        <f>IF(SF=4,StdFKME,IF(SF=6,StdFHÖ,""))</f>
      </c>
    </row>
    <row r="13" spans="1:8" ht="11.25">
      <c r="A13" s="37">
        <f>IF(OR(SF=4,SF=6),"Teilschülerbetrag Lehrkräfte öff. Schulen","")</f>
      </c>
      <c r="B13" s="45">
        <f>IF(SF=4,StdGS*StSGS,IF(SF=6,StdFL*STSFS,""))</f>
      </c>
      <c r="C13" s="45">
        <f>IF(SF=4,StdGYI*STSGY,IF(SF=6,StdFESE*STSFS,""))</f>
      </c>
      <c r="D13" s="45">
        <f>IF(SF=4,StdGYII*STSGY,IF(SF=6,StdFSP*STSFS,""))</f>
      </c>
      <c r="E13" s="45">
        <f>IF(SF=4,StdFL*STSFS,IF(SF=6,StdFGE*STSFS,""))</f>
      </c>
      <c r="F13" s="45">
        <f>IF(SF=4,StdFESE*STSFS,IF(SF=6,StdFKME*STSFS,""))</f>
      </c>
      <c r="G13" s="45">
        <f>IF(SF=4,StdFGE*STSFS,IF(SF=6,StdFSE*STSFS,""))</f>
      </c>
      <c r="H13" s="45">
        <f>IF(SF=4,StdFKME*STSFS,IF(SF=6,StdFHÖ*STSFS,""))</f>
      </c>
    </row>
    <row r="14" spans="1:8" ht="12.75" customHeight="1">
      <c r="A14" s="37">
        <f>IF(OR(SF=4,SF=6),"2.2.  für Päd. Mitarbeiter aus","")</f>
      </c>
      <c r="B14" s="38"/>
      <c r="C14" s="38"/>
      <c r="D14" s="38"/>
      <c r="E14" s="38"/>
      <c r="F14" s="38"/>
      <c r="G14" s="38"/>
      <c r="H14" s="38"/>
    </row>
    <row r="15" spans="1:8" ht="11.25">
      <c r="A15" s="38">
        <f>IF(OR(SF=4,SF=6),"Stundensatz lt. § 150 NSchG","")</f>
      </c>
      <c r="B15" s="42">
        <f>IF(SF=6,"keine PM in 'L'","")</f>
      </c>
      <c r="C15" s="42">
        <f>IF(SF=6,STSPM,"")</f>
      </c>
      <c r="D15" s="42">
        <f>IF(SF=6,STSPM,"")</f>
      </c>
      <c r="E15" s="42">
        <f>IF(SF=6,STSPM,IF(SF=4,"keine PM in 'L'",""))</f>
      </c>
      <c r="F15" s="42">
        <f>IF(OR(SF=4,SF=6),STSPM,"")</f>
      </c>
      <c r="G15" s="42">
        <f>IF(OR(SF=4,SF=6),STSPM,"")</f>
      </c>
      <c r="H15" s="42">
        <f>IF(SF=4,STSPM,IF(SF=6,"keine PM in 'HÖ'",""))</f>
      </c>
    </row>
    <row r="16" spans="1:8" ht="11.25">
      <c r="A16" s="38">
        <f>IF(OR(SF=4,SF=6),"mal Schülerstunden lt. FH-VO","")</f>
      </c>
      <c r="B16" s="43">
        <f>IF(SF=6,"keine PM in 'L'","")</f>
      </c>
      <c r="C16" s="43">
        <f>IF(SF=6,PMESE,"")</f>
      </c>
      <c r="D16" s="43">
        <f>IF(SF=6,PMSP,"")</f>
      </c>
      <c r="E16" s="43">
        <f>IF(SF=6,PMGE,IF(SF=4,"keine PM in 'L'",""))</f>
      </c>
      <c r="F16" s="43">
        <f>IF(SF=4,PMESE,IF(SF=6,PMKME,""))</f>
      </c>
      <c r="G16" s="43">
        <f>IF(SF=4,PMGE,IF(SF=6,PMSE,""))</f>
      </c>
      <c r="H16" s="43">
        <f>IF(SF=4,PMKME,IF(SF=6,"keine PM in 'HÖ'",""))</f>
      </c>
    </row>
    <row r="17" spans="1:8" ht="11.25">
      <c r="A17" s="37">
        <f>IF(OR(SF=4,SF=6),"Teilschülerbetrag Päd. Mitarb. öff. Schulen","")</f>
      </c>
      <c r="B17" s="45">
        <f>IF(SF=6,0,"")</f>
      </c>
      <c r="C17" s="45">
        <f>IF(SF=6,PMESE*STSPM,"")</f>
      </c>
      <c r="D17" s="45">
        <f>IF(SF=6,PMSP*STSPM,"")</f>
      </c>
      <c r="E17" s="45">
        <f>IF(SF=6,PMGE*STSPM,"")</f>
      </c>
      <c r="F17" s="45">
        <f>IF(SF=4,PMESE*STSPM,IF(SF=6,PMKME*STSPM,""))</f>
      </c>
      <c r="G17" s="45">
        <f>IF(SF=4,PMGE*STSPM,IF(SF=6,PMSE*STSPM,""))</f>
      </c>
      <c r="H17" s="45">
        <f>IF(SF=4,PMKME*STSPM,IF(SF=6,0,""))</f>
      </c>
    </row>
    <row r="18" spans="1:8" s="60" customFormat="1" ht="18" customHeight="1">
      <c r="A18" s="58">
        <f>IF(SF&gt;1,"3.  Ihre Dateneingaben zu den entsprechenden Gliederungen (bitte nur in den grün hinterlegten Feldern)","")</f>
      </c>
      <c r="B18" s="57"/>
      <c r="C18" s="59"/>
      <c r="D18" s="59"/>
      <c r="E18" s="59"/>
      <c r="F18" s="59"/>
      <c r="G18" s="59"/>
      <c r="H18" s="59"/>
    </row>
    <row r="19" spans="1:8" ht="12" customHeight="1">
      <c r="A19" s="36"/>
      <c r="B19" s="56">
        <f>B8</f>
      </c>
      <c r="C19" s="56">
        <f aca="true" t="shared" si="0" ref="C19:H19">C8</f>
      </c>
      <c r="D19" s="56">
        <f t="shared" si="0"/>
      </c>
      <c r="E19" s="56">
        <f t="shared" si="0"/>
      </c>
      <c r="F19" s="56">
        <f t="shared" si="0"/>
      </c>
      <c r="G19" s="56">
        <f t="shared" si="0"/>
      </c>
      <c r="H19" s="56">
        <f t="shared" si="0"/>
      </c>
    </row>
    <row r="20" spans="1:9" ht="11.25">
      <c r="A20" s="38">
        <f>IF(SF=1,"","Schülerzahlen (Stichtag September)")</f>
      </c>
      <c r="B20" s="48"/>
      <c r="C20" s="48"/>
      <c r="D20" s="48"/>
      <c r="E20" s="48"/>
      <c r="F20" s="48"/>
      <c r="G20" s="48"/>
      <c r="H20" s="48"/>
      <c r="I20" s="5">
        <f>IF(I8=0,"",IF(I21&gt;0,#REF!/I21,""))</f>
      </c>
    </row>
    <row r="21" spans="1:9" ht="11.25">
      <c r="A21" s="38">
        <f>IF(SF=1,"","Unterrichtsstunden Lehrkräfte")</f>
      </c>
      <c r="B21" s="48"/>
      <c r="C21" s="48"/>
      <c r="D21" s="48"/>
      <c r="E21" s="48"/>
      <c r="F21" s="48"/>
      <c r="G21" s="48"/>
      <c r="H21" s="48"/>
      <c r="I21" s="3"/>
    </row>
    <row r="22" spans="1:8" ht="11.25">
      <c r="A22" s="37">
        <f>IF(OR(SF=4,SF=6),"Stunden der Päd. Mitarbeiter","")</f>
      </c>
      <c r="B22" s="48"/>
      <c r="C22" s="48"/>
      <c r="D22" s="48"/>
      <c r="E22" s="48"/>
      <c r="F22" s="48"/>
      <c r="G22" s="48"/>
      <c r="H22" s="48"/>
    </row>
    <row r="23" spans="1:8" ht="16.5" customHeight="1">
      <c r="A23" s="49">
        <f>IF(SF=1,"","4.  Auswertung Ihrer Daten")</f>
      </c>
      <c r="B23" s="38"/>
      <c r="C23" s="38"/>
      <c r="D23" s="38"/>
      <c r="E23" s="38"/>
      <c r="F23" s="38"/>
      <c r="G23" s="38"/>
      <c r="H23" s="38"/>
    </row>
    <row r="24" spans="1:8" ht="11.25">
      <c r="A24" s="38">
        <f>IF(SF=1,"",IF(OR(SF=4,SF=6),"4.1. Schülerstunden","Schülerstunden"))</f>
      </c>
      <c r="B24" s="38"/>
      <c r="C24" s="38"/>
      <c r="D24" s="38"/>
      <c r="E24" s="38"/>
      <c r="F24" s="38"/>
      <c r="G24" s="38"/>
      <c r="H24" s="38"/>
    </row>
    <row r="25" spans="1:9" ht="11.25">
      <c r="A25" s="37">
        <f>IF(SF=1,"",IF(OR(SF=4,SF=6),"a) der Lehrkräfte Ihrer Schule","       der Lehrkräfte Ihrer Schule"))</f>
      </c>
      <c r="B25" s="54">
        <f aca="true" t="shared" si="1" ref="B25:H25">IF(OR(SF=1,B8="",B20="",B21=""),"",IF(B20&gt;0,B21/B20,0))</f>
      </c>
      <c r="C25" s="54">
        <f t="shared" si="1"/>
      </c>
      <c r="D25" s="54">
        <f t="shared" si="1"/>
      </c>
      <c r="E25" s="54">
        <f t="shared" si="1"/>
      </c>
      <c r="F25" s="54">
        <f t="shared" si="1"/>
      </c>
      <c r="G25" s="54">
        <f>IF(OR(SF=1,G8="",G20="",G21=""),"",IF(G20&gt;0,G21/G20,0))</f>
      </c>
      <c r="H25" s="54">
        <f t="shared" si="1"/>
      </c>
      <c r="I25" s="54">
        <f>IF(OR(SF=1,I20="",I21=""),"",IF(I21&gt;0,I20/I21,0))</f>
      </c>
    </row>
    <row r="26" spans="1:8" ht="11.25">
      <c r="A26" s="2">
        <f>IF(SF=1,"","   +/- Std. im Vergleich zum Verh. an öffentl. Sch.")</f>
      </c>
      <c r="B26" s="62">
        <f aca="true" t="shared" si="2" ref="B26:H26">IF(OR(SF=1,B21="",B8=""),"",B21-B12*B20)</f>
      </c>
      <c r="C26" s="62">
        <f t="shared" si="2"/>
      </c>
      <c r="D26" s="62">
        <f t="shared" si="2"/>
      </c>
      <c r="E26" s="62">
        <f t="shared" si="2"/>
      </c>
      <c r="F26" s="62">
        <f t="shared" si="2"/>
      </c>
      <c r="G26" s="62">
        <f t="shared" si="2"/>
      </c>
      <c r="H26" s="62">
        <f t="shared" si="2"/>
      </c>
    </row>
    <row r="27" spans="1:8" ht="11.25">
      <c r="A27" s="37">
        <f>IF(OR(SF=4,SF=6),"b) der Päd. Mitarbeiter Ihrer Schule","")</f>
      </c>
      <c r="B27" s="54"/>
      <c r="C27" s="54">
        <f>IF(OR(SF&lt;6,C8="",C20="",C22=""),"",IF(C20&gt;0,C22/C20,0))</f>
      </c>
      <c r="D27" s="54">
        <f>IF(OR(SF&lt;6,D8="",D20="",D22=""),"",IF(D20&gt;0,D22/D20,0))</f>
      </c>
      <c r="E27" s="54">
        <f>IF(OR(SF&lt;6,E8="",E20="",E22=""),"",IF(E20&gt;0,E22/E20,0))</f>
      </c>
      <c r="F27" s="54">
        <f>IF(OR(SF&lt;4,SF=5,F8="",F20="",F22=""),"",IF(F20&gt;0,F22/F20,0))</f>
      </c>
      <c r="G27" s="54">
        <f>IF(OR(SF&lt;4,SF=5,G8="",G20="",G22=""),"",IF(G20&gt;0,G22/G20,0))</f>
      </c>
      <c r="H27" s="54">
        <f>IF(OR(SF&lt;4,SF&gt;4,H8="",H20="",H22=""),"",IF(SF=4,IF(H20&gt;0,H22/H20,0),""))</f>
      </c>
    </row>
    <row r="28" spans="1:8" ht="11.25">
      <c r="A28" s="37">
        <f>IF(OR(SF=4,SF=6),"   +/- PM-Std im Vergl. zum Verh. an öffentl. Schulen","")</f>
      </c>
      <c r="B28" s="54">
        <f>IF(OR(SF&lt;6,B20="",B27=""),"",B22-B16*B20)</f>
      </c>
      <c r="C28" s="54">
        <f>IF(OR(SF&lt;6,C20="",C27=""),"",C22-C16*C20)</f>
      </c>
      <c r="D28" s="54">
        <f>IF(OR(SF&lt;6,D20="",D27=""),"",D22-D16*D20)</f>
      </c>
      <c r="E28" s="54">
        <f>IF(OR(SF&lt;6,E20="",E27=""),"",E22-E16*E20)</f>
      </c>
      <c r="F28" s="54">
        <f>IF(OR(SF&lt;4,SF=5,F20="",F27=""),"",F22-F16*F20)</f>
      </c>
      <c r="G28" s="54">
        <f>IF(OR(SF&lt;4,SF=5,G20="",G27=""),"",G22-G16*G20)</f>
      </c>
      <c r="H28" s="54">
        <f>IF(OR(SF&lt;4,SF&gt;4,H20="",H27=""),"",H22-H16*H20)</f>
      </c>
    </row>
    <row r="29" spans="1:8" ht="12.75" customHeight="1">
      <c r="A29" s="37"/>
      <c r="B29" s="54"/>
      <c r="C29" s="54"/>
      <c r="D29" s="54"/>
      <c r="E29" s="54"/>
      <c r="F29" s="54"/>
      <c r="G29" s="54"/>
      <c r="H29" s="54"/>
    </row>
    <row r="30" spans="1:8" ht="16.5" customHeight="1">
      <c r="A30" s="39">
        <f>IF(SF=1,"","5.  Schülerbeträge an Ihrer Schule")</f>
      </c>
      <c r="B30" s="44">
        <f>IF(OR(SF=1,B25=""),"",B31)</f>
      </c>
      <c r="C30" s="44">
        <f>IF(OR(SF=1,C25=""),"",IF(SF=6,C31+C32,C31))</f>
      </c>
      <c r="D30" s="44">
        <f>IF(OR(SF=1,D25=""),"",IF(SF=6,D31+D32,D31))</f>
      </c>
      <c r="E30" s="44">
        <f>IF(OR(SF=1,E25=""),"",IF(SF=6,E31+E32,E31))</f>
      </c>
      <c r="F30" s="44">
        <f>IF(OR(SF=1,F25=""),"",IF(OR(SF=4,SF=6),F31+F32,F31))</f>
      </c>
      <c r="G30" s="44">
        <f>IF(OR(SF=1,G25=""),"",IF(OR(SF=4,SF=6),G31+G32,G31))</f>
      </c>
      <c r="H30" s="44">
        <f>IF(OR(SF=1,H25=""),"",IF(SF=4,H31+H32,H31))</f>
      </c>
    </row>
    <row r="31" spans="1:8" ht="11.25">
      <c r="A31" s="38">
        <f>IF(OR(SF=4,SF=6),"a) ggf. davon Teilbetrag Lehrkräfte","")</f>
      </c>
      <c r="B31" s="45">
        <f>IF(OR(SF=1,B20="",B21=""),"",IF(OR(SF=2,SF=3,SF=4,SF=5),B25*StSGS,IF(SF=6,B25*STSFS)))</f>
      </c>
      <c r="C31" s="45">
        <f>IF(OR(SF=1,C20="",C21=""),"",IF(SF=2,C25*STSHS,IF(OR(SF=3,SF=4,SF=5),C25*STSGY,IF(SF=6,C25*STSFS))))</f>
      </c>
      <c r="D31" s="45">
        <f>IF(OR(SF=1,D20="",D21=""),"",IF(SF=2,D25*STSRS,IF(OR(SF=3,SF=4,SF=5),D25*STSGY,IF(SF=6,D25*STSFS))))</f>
      </c>
      <c r="E31" s="45">
        <f>IF(OR(SF=1,SF=3,SF=5,E20="",E21=""),"",IF(SF=2,E25*STSGY,IF(OR(SF=4,SF=6),E25*STSFS)))</f>
      </c>
      <c r="F31" s="45">
        <f>IF(OR(SF=1,SF=3,SF=5,F20="",F21=""),"",IF(SF=2,F25*STSGY,IF(OR(SF=4,SF=6),F25*STSFS)))</f>
      </c>
      <c r="G31" s="45">
        <f>IF(OR(SF=1,SF=2,SF=3,SF=5,G20="",G21=""),"",IF(OR(SF=4,SF=6),G25*STSFS))</f>
      </c>
      <c r="H31" s="45">
        <f>IF(OR(SF=1,SF=2,SF=3,SF=5,H20="",H21=""),"",IF(OR(SF=4,SF=6),H25*STSFS))</f>
      </c>
    </row>
    <row r="32" spans="1:8" ht="11.25">
      <c r="A32" s="38">
        <f>IF(OR(SF=4,SF=6),"b) und Teilbetrag Pädagogische Mitarbeiter","")</f>
      </c>
      <c r="B32" s="45">
        <f>IF(OR(SF=1,SF=2,SF=3,SF=4,SF=5),"",IF(SF=6,"keine PM in 'L'"))</f>
      </c>
      <c r="C32" s="45">
        <f>IF(OR(SF=1,SF=2,SF=3,SF=4,SF=5),"",IF(C22="",0,IF(SF=6,C27*STSPM)))</f>
      </c>
      <c r="D32" s="45">
        <f>IF(OR(SF=1,SF=2,SF=3,SF=4,SF=5),"",IF(D22="",0,IF(SF=6,D27*STSPM)))</f>
      </c>
      <c r="E32" s="45">
        <f>IF(OR(SF=1,SF=2,SF=3,SF=5),"",IF(SF=4,"keine PM in 'L'",IF(E22="",0,IF(SF=6,E27*STSPM))))</f>
      </c>
      <c r="F32" s="45">
        <f>IF(OR(SF=1,SF=2,SF=3,SF=5),"",IF(F22="",0,IF(OR(SF=4,SF=6),F27*STSPM)))</f>
      </c>
      <c r="G32" s="45">
        <f>IF(OR(SF=1,SF=2,SF=3,SF=5),"",IF(G22="",0,IF(OR(SF=4,SF=6),G27*STSPM)))</f>
      </c>
      <c r="H32" s="45">
        <f>IF(OR(SF=1,SF=2,SF=3,SF=5),"",IF(SF=6,"keine PM in 'HÖ'",IF(H22="",0,IF(SF=4,H27*STSPM,))))</f>
      </c>
    </row>
    <row r="33" spans="1:8" ht="11.25">
      <c r="A33" s="4">
        <f>IF(SF=1,"","6.  Festzusetzen als Schülerbetrag wäre")</f>
      </c>
      <c r="B33" s="44">
        <f aca="true" t="shared" si="3" ref="B33:H33">IF(AND(B20&gt;0,B21&gt;0),IF(B30&lt;B9,B30,B9),"")</f>
      </c>
      <c r="C33" s="44">
        <f t="shared" si="3"/>
      </c>
      <c r="D33" s="44">
        <f t="shared" si="3"/>
      </c>
      <c r="E33" s="44">
        <f t="shared" si="3"/>
      </c>
      <c r="F33" s="44">
        <f t="shared" si="3"/>
      </c>
      <c r="G33" s="44">
        <f t="shared" si="3"/>
      </c>
      <c r="H33" s="44">
        <f t="shared" si="3"/>
      </c>
    </row>
    <row r="34" spans="1:8" ht="11.25">
      <c r="A34" s="4">
        <f>IF(SF=1,"","7.  Grundbetrag je Gliederung")</f>
      </c>
      <c r="B34" s="44">
        <f>IF(SF=1,"",IF(AND(B20&gt;0,B21&gt;0),B33*B20,""))</f>
      </c>
      <c r="C34" s="44">
        <f>IF(SF=1,"",IF(AND(C20&gt;0,C21&gt;0),C33*C20,""))</f>
      </c>
      <c r="D34" s="44">
        <f>IF(SF=1,"",IF(AND(D20&gt;0,D21&gt;0),D33*D20,""))</f>
      </c>
      <c r="E34" s="44">
        <f>IF(OR(SF=2,SF=4,SF=6),IF(AND(E20&gt;0,E21&gt;0),E33*E20,""),"")</f>
      </c>
      <c r="F34" s="44">
        <f>IF(OR(SF=2,SF=4,SF=6),IF(AND(F20&gt;0,F21&gt;0),F33*F20,""),"")</f>
      </c>
      <c r="G34" s="44">
        <f>IF(OR(SF=4,SF=6),IF(AND(G20&gt;0,G21&gt;0),G33*G20,""),"")</f>
      </c>
      <c r="H34" s="44">
        <f>IF(OR(SF=4,SF=6),IF(AND(H20&gt;0,H21&gt;0),H33*H20,""),"")</f>
      </c>
    </row>
    <row r="35" spans="1:8" ht="12" customHeight="1">
      <c r="A35" s="4">
        <f>IF(SF&gt;1,"8.  Summe Grundbetrag für alle Gliederungen","")</f>
      </c>
      <c r="B35" s="55">
        <f>IF(SF&gt;1,SUM(B34:H34),"")</f>
      </c>
      <c r="C35" s="38"/>
      <c r="D35" s="38"/>
      <c r="E35" s="38"/>
      <c r="F35" s="38"/>
      <c r="G35" s="38"/>
      <c r="H35" s="38"/>
    </row>
    <row r="36" spans="1:3" ht="11.25" customHeight="1">
      <c r="A36" s="4">
        <f>IF(SF&gt;1,"9.  Maximaler Erhöhungsbetrag","")</f>
      </c>
      <c r="B36" s="55">
        <f>IF(SF=1,"",IF(SF=5,0,SUM(B34:H34)*0.8*26.85/100))</f>
      </c>
      <c r="C36" s="2">
        <f>IF(SF=5,"Die Träger anerkannter Ergänzungsschulen erhalten keinen Erhöhungsbetrag nach § 150 Abs. 8 NSchG","")</f>
      </c>
    </row>
    <row r="37" spans="1:2" ht="11.25">
      <c r="A37" s="4">
        <f>IF(SF&gt;1,"10. Maximale Finanzhilfe","")</f>
      </c>
      <c r="B37" s="55">
        <f>IF(SF=1,"",IF(SF=5,SUM(B34:H34),SUM(B34:H34)+SUM(B34:H34)*0.8*26.85/100))</f>
      </c>
    </row>
    <row r="38" ht="1.5" customHeight="1">
      <c r="E38" s="3"/>
    </row>
    <row r="39" spans="1:5" ht="11.25">
      <c r="A39" s="61">
        <f>IF(SF&gt;1,"Wichtige Hinweise: Die Prognose für das Schuljahr 2008/09 beruht auf den am 01.08.2008 und damit die zum maßgeblichen Stichtag bestehenden Vorschriften.","")</f>
      </c>
      <c r="E39" s="3"/>
    </row>
    <row r="40" spans="1:8" ht="11.25">
      <c r="A40" s="84">
        <f>IF(SF&gt;1,"Dieses Formular dient allein der Prognose der voraussichtlichen Finanzhilfe. Die tatsächliche Höhe wird ausschließlich durch die Abrechnung festgesetzt.","")</f>
      </c>
      <c r="B40" s="84"/>
      <c r="C40" s="84"/>
      <c r="D40" s="84"/>
      <c r="E40" s="84"/>
      <c r="F40" s="84"/>
      <c r="G40" s="84"/>
      <c r="H40" s="84"/>
    </row>
    <row r="41" spans="1:8" ht="11.25">
      <c r="A41" s="85">
        <f>IF(SF&gt;1,"Zu 2.:          Dargestellt sind die für die Berechnung der Finanzhilfe maßgeblichen Ausgangswerte nach den Verhältnissen an öffentlichen Schulen.","")</f>
      </c>
      <c r="B41" s="85"/>
      <c r="C41" s="85"/>
      <c r="D41" s="85"/>
      <c r="E41" s="85"/>
      <c r="F41" s="85"/>
      <c r="G41" s="85"/>
      <c r="H41" s="85"/>
    </row>
    <row r="42" spans="1:9" ht="12" customHeight="1">
      <c r="A42" s="84">
        <f>IF(SF&gt;1,"Zu 4.:          Stunden je Schüler Ihrer Schule und Abweichung (der Gesamtstunden) von den maximal finanzierbaren nach den Verhältnissen an den entsprechenden öffentlichen Schulen.","")</f>
      </c>
      <c r="B42" s="84"/>
      <c r="C42" s="84"/>
      <c r="D42" s="84"/>
      <c r="E42" s="84"/>
      <c r="F42" s="84"/>
      <c r="G42" s="84"/>
      <c r="H42" s="84"/>
      <c r="I42" s="84"/>
    </row>
    <row r="43" spans="1:8" ht="11.25">
      <c r="A43" s="85">
        <f>IF(SF&gt;1,"Zu 6.:          Maßgeblicher Schülerbetrag nach dem Vergleich zwischen den Verhältnissen an öffentlichen Schulen und den Verhältnissen an Ihrer Schule.","")</f>
      </c>
      <c r="B43" s="85"/>
      <c r="C43" s="85"/>
      <c r="D43" s="85"/>
      <c r="E43" s="85"/>
      <c r="F43" s="85"/>
      <c r="G43" s="85"/>
      <c r="H43" s="85"/>
    </row>
    <row r="44" spans="1:8" ht="22.5" customHeight="1">
      <c r="A44" s="84">
        <f>IF(SF&gt;1,"Zu 7.:          Prognose zum Grundbetrag für jede Gliederung, wie sie sich aus den Schülerbeträgen und Ihren Schülerzahlen ergibt.
                    Maßgeblich für die tatsächliche Höhe wird aber der Mittelwert der Schülerzahlen (15.11. u. 15.03.) sein.","")</f>
      </c>
      <c r="B44" s="84"/>
      <c r="C44" s="84"/>
      <c r="D44" s="84"/>
      <c r="E44" s="84"/>
      <c r="F44" s="84"/>
      <c r="G44" s="84"/>
      <c r="H44" s="84"/>
    </row>
    <row r="45" spans="1:8" ht="11.25">
      <c r="A45" s="85">
        <f>IF(SF&gt;1,"Zu 8.:          Die sich aus den Beträgen unter 7. ergebende Summe des Grundbetrages für alle an Ihrer Schule geführten Gliederungen.","")</f>
      </c>
      <c r="B45" s="85"/>
      <c r="C45" s="85"/>
      <c r="D45" s="85"/>
      <c r="E45" s="85"/>
      <c r="F45" s="85"/>
      <c r="G45" s="85"/>
      <c r="H45" s="85"/>
    </row>
    <row r="46" spans="1:9" ht="12" customHeight="1">
      <c r="A46" s="84">
        <f>IF(SF&gt;1,"Zu 9. u.10.: Maximal mögliche Beträge, die sich ergeben würden, wenn Sie den Erhöhungsbetrag für die soziale Sicherung des  Lehr- und ggf. des Zusatzpersonals voll ausschöpfen.","")</f>
      </c>
      <c r="B46" s="84"/>
      <c r="C46" s="84"/>
      <c r="D46" s="84"/>
      <c r="E46" s="84"/>
      <c r="F46" s="84"/>
      <c r="G46" s="84"/>
      <c r="H46" s="84"/>
      <c r="I46" s="84"/>
    </row>
    <row r="47" ht="11.25">
      <c r="A47" s="75"/>
    </row>
  </sheetData>
  <sheetProtection password="E7DE" sheet="1" objects="1" scenarios="1" selectLockedCells="1"/>
  <mergeCells count="10">
    <mergeCell ref="A2:H2"/>
    <mergeCell ref="A3:H3"/>
    <mergeCell ref="A40:H40"/>
    <mergeCell ref="A46:I46"/>
    <mergeCell ref="A44:H44"/>
    <mergeCell ref="A45:H45"/>
    <mergeCell ref="A41:H41"/>
    <mergeCell ref="A43:H43"/>
    <mergeCell ref="A42:I42"/>
    <mergeCell ref="A4:C4"/>
  </mergeCells>
  <conditionalFormatting sqref="C32:D32">
    <cfRule type="expression" priority="1" dxfId="0" stopIfTrue="1">
      <formula>SF=4</formula>
    </cfRule>
    <cfRule type="expression" priority="2" dxfId="1" stopIfTrue="1">
      <formula>AND(C20="",SF=6)</formula>
    </cfRule>
  </conditionalFormatting>
  <conditionalFormatting sqref="E32">
    <cfRule type="expression" priority="3" dxfId="1" stopIfTrue="1">
      <formula>AND(E20="",SF=6)</formula>
    </cfRule>
  </conditionalFormatting>
  <conditionalFormatting sqref="A22 A31:A32 G33:H34 F15:H17 G30:H31 E15:E16 G8:H9 G11:H12 A13:H13 A15:A17 G25:H26 A27:A28 F27:G28">
    <cfRule type="expression" priority="4" dxfId="1" stopIfTrue="1">
      <formula>OR(SF=4,SF=6)</formula>
    </cfRule>
  </conditionalFormatting>
  <conditionalFormatting sqref="H27:H28">
    <cfRule type="expression" priority="5" dxfId="1" stopIfTrue="1">
      <formula>SF=4</formula>
    </cfRule>
    <cfRule type="expression" priority="6" dxfId="0" stopIfTrue="1">
      <formula>SF=6</formula>
    </cfRule>
  </conditionalFormatting>
  <conditionalFormatting sqref="B22 B27:B28">
    <cfRule type="expression" priority="7" dxfId="2" stopIfTrue="1">
      <formula>OR(SF=4,SF=6)</formula>
    </cfRule>
  </conditionalFormatting>
  <conditionalFormatting sqref="B15:C17 D17:E17 C27:E28">
    <cfRule type="expression" priority="8" dxfId="1" stopIfTrue="1">
      <formula>SF=6</formula>
    </cfRule>
    <cfRule type="expression" priority="9" dxfId="3" stopIfTrue="1">
      <formula>SF=4</formula>
    </cfRule>
  </conditionalFormatting>
  <conditionalFormatting sqref="B20:D21">
    <cfRule type="expression" priority="10" dxfId="4" stopIfTrue="1">
      <formula>SF&gt;1</formula>
    </cfRule>
  </conditionalFormatting>
  <conditionalFormatting sqref="G20:H21 F22:G22">
    <cfRule type="expression" priority="11" dxfId="4" stopIfTrue="1">
      <formula>OR(SF=4,SF=6)</formula>
    </cfRule>
  </conditionalFormatting>
  <conditionalFormatting sqref="E20:F21">
    <cfRule type="expression" priority="12" dxfId="4" stopIfTrue="1">
      <formula>OR(SF=2,SF=4,SF=6)</formula>
    </cfRule>
  </conditionalFormatting>
  <conditionalFormatting sqref="A11:D12 A9 B8:D9 A20:A21 A30:D30 A33:A37 B35:B37 B33:D34 B25:D25 A26:D26">
    <cfRule type="expression" priority="13" dxfId="1" stopIfTrue="1">
      <formula>SF&gt;1</formula>
    </cfRule>
  </conditionalFormatting>
  <conditionalFormatting sqref="E30:F30 E33:F34 E8:F9 E11:F12 E25:F26">
    <cfRule type="expression" priority="14" dxfId="1" stopIfTrue="1">
      <formula>OR(SF=2,SF=4,SF=6)</formula>
    </cfRule>
  </conditionalFormatting>
  <conditionalFormatting sqref="H22">
    <cfRule type="expression" priority="15" dxfId="4" stopIfTrue="1">
      <formula>SF=4</formula>
    </cfRule>
    <cfRule type="expression" priority="16" dxfId="0" stopIfTrue="1">
      <formula>SF=6</formula>
    </cfRule>
  </conditionalFormatting>
  <conditionalFormatting sqref="A24">
    <cfRule type="expression" priority="17" dxfId="5" stopIfTrue="1">
      <formula>SF&gt;1</formula>
    </cfRule>
  </conditionalFormatting>
  <conditionalFormatting sqref="A25">
    <cfRule type="expression" priority="18" dxfId="1" stopIfTrue="1">
      <formula>OR(SF=4,SF=6)</formula>
    </cfRule>
    <cfRule type="expression" priority="19" dxfId="6" stopIfTrue="1">
      <formula>OR(SF=2,SF=3,SF=5)</formula>
    </cfRule>
  </conditionalFormatting>
  <conditionalFormatting sqref="B32">
    <cfRule type="expression" priority="20" dxfId="0" stopIfTrue="1">
      <formula>SF=4</formula>
    </cfRule>
    <cfRule type="expression" priority="21" dxfId="1" stopIfTrue="1">
      <formula>SF=6</formula>
    </cfRule>
  </conditionalFormatting>
  <conditionalFormatting sqref="F31">
    <cfRule type="expression" priority="22" dxfId="1" stopIfTrue="1">
      <formula>OR(SF=4,SF=6)</formula>
    </cfRule>
    <cfRule type="expression" priority="23" dxfId="7" stopIfTrue="1">
      <formula>OR(SF=2,SF=3,SF=5)</formula>
    </cfRule>
  </conditionalFormatting>
  <conditionalFormatting sqref="B31:E31">
    <cfRule type="expression" priority="24" dxfId="1" stopIfTrue="1">
      <formula>OR(SF=4,SF=6)</formula>
    </cfRule>
    <cfRule type="expression" priority="25" dxfId="8" stopIfTrue="1">
      <formula>OR(SF=2,SF=3,SF=5)</formula>
    </cfRule>
  </conditionalFormatting>
  <conditionalFormatting sqref="C22:E22">
    <cfRule type="expression" priority="26" dxfId="4" stopIfTrue="1">
      <formula>SF=6</formula>
    </cfRule>
    <cfRule type="expression" priority="27" dxfId="3" stopIfTrue="1">
      <formula>SF=4</formula>
    </cfRule>
  </conditionalFormatting>
  <conditionalFormatting sqref="F32">
    <cfRule type="expression" priority="28" dxfId="1" stopIfTrue="1">
      <formula>AND($F$20="",OR(SF=4,SF=6))</formula>
    </cfRule>
  </conditionalFormatting>
  <conditionalFormatting sqref="G32">
    <cfRule type="expression" priority="29" dxfId="1" stopIfTrue="1">
      <formula>AND($G$20="",OR(SF=4,SF=6))</formula>
    </cfRule>
  </conditionalFormatting>
  <conditionalFormatting sqref="H32">
    <cfRule type="expression" priority="30" dxfId="1" stopIfTrue="1">
      <formula>AND($H$20="",SF=4)</formula>
    </cfRule>
    <cfRule type="expression" priority="31" dxfId="1" stopIfTrue="1">
      <formula>OR(SF=4,SF=6)</formula>
    </cfRule>
  </conditionalFormatting>
  <conditionalFormatting sqref="D15:D16">
    <cfRule type="expression" priority="32" dxfId="1" stopIfTrue="1">
      <formula>SF=6</formula>
    </cfRule>
    <cfRule type="expression" priority="33" dxfId="9" stopIfTrue="1">
      <formula>SF=4</formula>
    </cfRule>
  </conditionalFormatting>
  <printOptions/>
  <pageMargins left="0.75" right="0.75" top="0.34" bottom="0.23" header="0.21" footer="0.16"/>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G40"/>
  <sheetViews>
    <sheetView workbookViewId="0" topLeftCell="A1">
      <selection activeCell="A3" sqref="A3:G3"/>
    </sheetView>
  </sheetViews>
  <sheetFormatPr defaultColWidth="11.421875" defaultRowHeight="12.75"/>
  <cols>
    <col min="1" max="1" width="3.140625" style="69" customWidth="1"/>
    <col min="2" max="2" width="14.7109375" style="69" customWidth="1"/>
    <col min="3" max="3" width="17.28125" style="69" customWidth="1"/>
    <col min="4" max="4" width="12.57421875" style="69" customWidth="1"/>
    <col min="5" max="5" width="14.28125" style="69" customWidth="1"/>
    <col min="6" max="6" width="8.28125" style="69" customWidth="1"/>
    <col min="7" max="16384" width="11.421875" style="69" customWidth="1"/>
  </cols>
  <sheetData>
    <row r="1" spans="1:7" ht="12.75">
      <c r="A1" s="68" t="s">
        <v>64</v>
      </c>
      <c r="G1" s="70" t="s">
        <v>70</v>
      </c>
    </row>
    <row r="3" spans="1:7" ht="24.75" customHeight="1">
      <c r="A3" s="87" t="s">
        <v>71</v>
      </c>
      <c r="B3" s="87"/>
      <c r="C3" s="87"/>
      <c r="D3" s="87"/>
      <c r="E3" s="87"/>
      <c r="F3" s="87"/>
      <c r="G3" s="87"/>
    </row>
    <row r="5" spans="1:6" ht="12.75">
      <c r="A5" s="71" t="s">
        <v>37</v>
      </c>
      <c r="B5" s="71" t="s">
        <v>66</v>
      </c>
      <c r="C5" s="71"/>
      <c r="D5" s="71"/>
      <c r="E5" s="71"/>
      <c r="F5" s="71"/>
    </row>
    <row r="6" ht="12.75">
      <c r="B6" s="2" t="s">
        <v>72</v>
      </c>
    </row>
    <row r="7" ht="12.75">
      <c r="B7" s="69" t="s">
        <v>30</v>
      </c>
    </row>
    <row r="8" spans="2:4" ht="12.75">
      <c r="B8" s="69" t="s">
        <v>31</v>
      </c>
      <c r="D8" s="72">
        <v>1704.38</v>
      </c>
    </row>
    <row r="9" spans="2:4" ht="12.75">
      <c r="B9" s="69" t="s">
        <v>32</v>
      </c>
      <c r="D9" s="72">
        <v>1736.84</v>
      </c>
    </row>
    <row r="10" spans="2:4" ht="12.75">
      <c r="B10" s="69" t="s">
        <v>33</v>
      </c>
      <c r="D10" s="72">
        <v>2038.15</v>
      </c>
    </row>
    <row r="11" spans="2:4" ht="12.75">
      <c r="B11" s="69" t="s">
        <v>34</v>
      </c>
      <c r="D11" s="72">
        <v>2407.43</v>
      </c>
    </row>
    <row r="12" spans="2:4" ht="12.75">
      <c r="B12" s="69" t="s">
        <v>35</v>
      </c>
      <c r="D12" s="72">
        <v>2002.64</v>
      </c>
    </row>
    <row r="13" ht="12.75">
      <c r="D13" s="72"/>
    </row>
    <row r="14" spans="2:4" ht="12.75">
      <c r="B14" s="69" t="s">
        <v>36</v>
      </c>
      <c r="D14" s="72">
        <v>830.88</v>
      </c>
    </row>
    <row r="16" spans="1:6" ht="12.75">
      <c r="A16" s="71" t="s">
        <v>38</v>
      </c>
      <c r="B16" s="71" t="s">
        <v>67</v>
      </c>
      <c r="C16" s="71"/>
      <c r="D16" s="71"/>
      <c r="E16" s="71"/>
      <c r="F16" s="71"/>
    </row>
    <row r="18" spans="4:5" ht="12.75">
      <c r="D18" s="73" t="s">
        <v>49</v>
      </c>
      <c r="E18" s="73" t="s">
        <v>50</v>
      </c>
    </row>
    <row r="19" spans="2:5" ht="12.75">
      <c r="B19" s="69" t="s">
        <v>31</v>
      </c>
      <c r="D19" s="74">
        <v>1.23</v>
      </c>
      <c r="E19" s="73" t="s">
        <v>51</v>
      </c>
    </row>
    <row r="20" spans="2:5" ht="12.75">
      <c r="B20" s="69" t="s">
        <v>32</v>
      </c>
      <c r="D20" s="74">
        <v>1.68</v>
      </c>
      <c r="E20" s="73" t="s">
        <v>51</v>
      </c>
    </row>
    <row r="21" spans="2:5" ht="12.75">
      <c r="B21" s="69" t="s">
        <v>33</v>
      </c>
      <c r="D21" s="74">
        <v>1.25</v>
      </c>
      <c r="E21" s="73" t="s">
        <v>51</v>
      </c>
    </row>
    <row r="22" spans="2:5" ht="12.75">
      <c r="B22" s="69" t="s">
        <v>47</v>
      </c>
      <c r="D22" s="74">
        <v>1.24</v>
      </c>
      <c r="E22" s="73" t="s">
        <v>51</v>
      </c>
    </row>
    <row r="23" spans="2:5" ht="12.75">
      <c r="B23" s="69" t="s">
        <v>48</v>
      </c>
      <c r="D23" s="74">
        <v>1.64</v>
      </c>
      <c r="E23" s="73" t="s">
        <v>51</v>
      </c>
    </row>
    <row r="24" spans="2:5" ht="12.75">
      <c r="B24" s="69" t="s">
        <v>39</v>
      </c>
      <c r="D24" s="74"/>
      <c r="E24" s="73"/>
    </row>
    <row r="25" spans="2:5" ht="12.75">
      <c r="B25" s="69" t="s">
        <v>40</v>
      </c>
      <c r="D25" s="74">
        <v>2.6</v>
      </c>
      <c r="E25" s="73" t="s">
        <v>51</v>
      </c>
    </row>
    <row r="26" spans="2:5" ht="12.75">
      <c r="B26" s="69" t="s">
        <v>44</v>
      </c>
      <c r="D26" s="74">
        <v>3.84</v>
      </c>
      <c r="E26" s="74">
        <v>1.81</v>
      </c>
    </row>
    <row r="27" spans="2:5" ht="12.75">
      <c r="B27" s="69" t="s">
        <v>41</v>
      </c>
      <c r="D27" s="74">
        <v>2.51</v>
      </c>
      <c r="E27" s="74">
        <v>0.04</v>
      </c>
    </row>
    <row r="28" spans="2:5" ht="12.75">
      <c r="B28" s="69" t="s">
        <v>42</v>
      </c>
      <c r="D28" s="74">
        <v>5.19</v>
      </c>
      <c r="E28" s="74">
        <v>4.8</v>
      </c>
    </row>
    <row r="29" spans="2:5" ht="12.75">
      <c r="B29" s="69" t="s">
        <v>43</v>
      </c>
      <c r="D29" s="74">
        <v>4.34</v>
      </c>
      <c r="E29" s="74">
        <v>3.7</v>
      </c>
    </row>
    <row r="30" spans="2:5" ht="12.75">
      <c r="B30" s="69" t="s">
        <v>45</v>
      </c>
      <c r="D30" s="74">
        <v>5.79</v>
      </c>
      <c r="E30" s="74">
        <v>2.42</v>
      </c>
    </row>
    <row r="31" spans="2:5" ht="12.75">
      <c r="B31" s="69" t="s">
        <v>46</v>
      </c>
      <c r="D31" s="74">
        <v>5.29</v>
      </c>
      <c r="E31" s="73" t="s">
        <v>51</v>
      </c>
    </row>
    <row r="33" spans="1:5" ht="12.75">
      <c r="A33" s="71" t="s">
        <v>52</v>
      </c>
      <c r="B33" s="71" t="s">
        <v>68</v>
      </c>
      <c r="C33" s="71"/>
      <c r="D33" s="71"/>
      <c r="E33" s="71"/>
    </row>
    <row r="34" ht="12.75">
      <c r="B34" s="2" t="s">
        <v>73</v>
      </c>
    </row>
    <row r="35" spans="2:5" ht="12.75">
      <c r="B35" s="69" t="s">
        <v>53</v>
      </c>
      <c r="D35" s="81">
        <f>3.3/2</f>
        <v>1.65</v>
      </c>
      <c r="E35" s="76" t="s">
        <v>59</v>
      </c>
    </row>
    <row r="36" spans="2:5" ht="12.75">
      <c r="B36" s="69" t="s">
        <v>54</v>
      </c>
      <c r="D36" s="81">
        <f>14.1/2</f>
        <v>7.05</v>
      </c>
      <c r="E36" s="76" t="s">
        <v>63</v>
      </c>
    </row>
    <row r="37" spans="2:5" ht="12.75">
      <c r="B37" s="69" t="s">
        <v>55</v>
      </c>
      <c r="D37" s="81">
        <v>0.975</v>
      </c>
      <c r="E37" s="76" t="s">
        <v>60</v>
      </c>
    </row>
    <row r="38" spans="2:5" ht="12.75">
      <c r="B38" s="69" t="s">
        <v>56</v>
      </c>
      <c r="D38" s="81">
        <f>19.9/2</f>
        <v>9.95</v>
      </c>
      <c r="E38" s="76" t="s">
        <v>61</v>
      </c>
    </row>
    <row r="39" spans="2:5" ht="12.75">
      <c r="B39" s="69" t="s">
        <v>57</v>
      </c>
      <c r="D39" s="81">
        <v>6.9</v>
      </c>
      <c r="E39" s="76" t="s">
        <v>62</v>
      </c>
    </row>
    <row r="40" spans="2:4" ht="12.75">
      <c r="B40" s="69" t="s">
        <v>58</v>
      </c>
      <c r="D40" s="81">
        <f>SUM(D35:D39)</f>
        <v>26.525</v>
      </c>
    </row>
  </sheetData>
  <sheetProtection password="E7DE" sheet="1" objects="1" scenarios="1" selectLockedCells="1"/>
  <mergeCells count="1">
    <mergeCell ref="A3:G3"/>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3:H35"/>
  <sheetViews>
    <sheetView workbookViewId="0" topLeftCell="A4">
      <selection activeCell="E28" sqref="E28"/>
    </sheetView>
  </sheetViews>
  <sheetFormatPr defaultColWidth="11.421875" defaultRowHeight="12.75"/>
  <cols>
    <col min="1" max="1" width="4.421875" style="0" customWidth="1"/>
    <col min="5" max="5" width="15.140625" style="0" customWidth="1"/>
    <col min="6" max="6" width="15.8515625" style="0" customWidth="1"/>
  </cols>
  <sheetData>
    <row r="3" ht="12.75">
      <c r="A3" s="1" t="s">
        <v>0</v>
      </c>
    </row>
    <row r="4" ht="13.5" thickBot="1"/>
    <row r="5" spans="2:6" ht="12.75">
      <c r="B5" s="14" t="s">
        <v>1</v>
      </c>
      <c r="C5" s="15"/>
      <c r="D5" s="15"/>
      <c r="E5" s="16"/>
      <c r="F5" s="17" t="s">
        <v>5</v>
      </c>
    </row>
    <row r="6" spans="1:6" ht="13.5" thickBot="1">
      <c r="A6">
        <v>0</v>
      </c>
      <c r="B6" s="47" t="s">
        <v>27</v>
      </c>
      <c r="C6" s="50"/>
      <c r="D6" s="10"/>
      <c r="E6" s="11"/>
      <c r="F6" s="6">
        <v>1</v>
      </c>
    </row>
    <row r="7" spans="1:5" ht="12.75">
      <c r="A7">
        <v>1</v>
      </c>
      <c r="B7" s="47" t="s">
        <v>25</v>
      </c>
      <c r="C7" s="50"/>
      <c r="D7" s="10"/>
      <c r="E7" s="11"/>
    </row>
    <row r="8" spans="1:5" ht="12.75">
      <c r="A8">
        <v>2</v>
      </c>
      <c r="B8" s="47" t="s">
        <v>26</v>
      </c>
      <c r="C8" s="50"/>
      <c r="D8" s="10"/>
      <c r="E8" s="11"/>
    </row>
    <row r="9" spans="1:5" ht="12.75">
      <c r="A9">
        <v>3</v>
      </c>
      <c r="B9" s="47" t="s">
        <v>2</v>
      </c>
      <c r="C9" s="50"/>
      <c r="D9" s="10"/>
      <c r="E9" s="11"/>
    </row>
    <row r="10" spans="1:5" ht="12.75">
      <c r="A10">
        <v>4</v>
      </c>
      <c r="B10" s="47" t="s">
        <v>3</v>
      </c>
      <c r="C10" s="50"/>
      <c r="D10" s="10"/>
      <c r="E10" s="11"/>
    </row>
    <row r="11" spans="1:5" ht="13.5" thickBot="1">
      <c r="A11">
        <v>5</v>
      </c>
      <c r="B11" s="51" t="s">
        <v>4</v>
      </c>
      <c r="C11" s="52"/>
      <c r="D11" s="12"/>
      <c r="E11" s="13"/>
    </row>
    <row r="12" ht="13.5" thickBot="1"/>
    <row r="13" spans="2:4" ht="12.75">
      <c r="B13" s="24" t="s">
        <v>6</v>
      </c>
      <c r="C13" s="15"/>
      <c r="D13" s="16"/>
    </row>
    <row r="14" spans="2:4" ht="12.75">
      <c r="B14" s="18" t="s">
        <v>7</v>
      </c>
      <c r="C14" s="19">
        <f>Berechnungsgrößen!D8</f>
        <v>1704.38</v>
      </c>
      <c r="D14" s="20"/>
    </row>
    <row r="15" spans="2:4" ht="12.75">
      <c r="B15" s="18" t="s">
        <v>8</v>
      </c>
      <c r="C15" s="19">
        <f>Berechnungsgrößen!D9</f>
        <v>1736.84</v>
      </c>
      <c r="D15" s="20"/>
    </row>
    <row r="16" spans="2:4" ht="12.75">
      <c r="B16" s="18" t="s">
        <v>9</v>
      </c>
      <c r="C16" s="19">
        <f>Berechnungsgrößen!D10</f>
        <v>2038.15</v>
      </c>
      <c r="D16" s="20"/>
    </row>
    <row r="17" spans="2:4" ht="12.75">
      <c r="B17" s="18" t="s">
        <v>11</v>
      </c>
      <c r="C17" s="19">
        <f>Berechnungsgrößen!D11</f>
        <v>2407.43</v>
      </c>
      <c r="D17" s="20"/>
    </row>
    <row r="18" spans="2:4" ht="12.75">
      <c r="B18" s="18" t="s">
        <v>10</v>
      </c>
      <c r="C18" s="19">
        <f>Berechnungsgrößen!D12</f>
        <v>2002.64</v>
      </c>
      <c r="D18" s="20"/>
    </row>
    <row r="19" spans="2:4" ht="13.5" thickBot="1">
      <c r="B19" s="21" t="s">
        <v>12</v>
      </c>
      <c r="C19" s="22">
        <f>Berechnungsgrößen!D14</f>
        <v>830.88</v>
      </c>
      <c r="D19" s="23"/>
    </row>
    <row r="20" ht="13.5" thickBot="1"/>
    <row r="21" spans="2:8" ht="12.75">
      <c r="B21" s="7" t="s">
        <v>23</v>
      </c>
      <c r="C21" s="8"/>
      <c r="D21" s="9"/>
      <c r="F21" s="26"/>
      <c r="G21" s="26"/>
      <c r="H21" s="26"/>
    </row>
    <row r="22" spans="2:8" ht="12.75">
      <c r="B22" s="33"/>
      <c r="C22" s="34" t="s">
        <v>24</v>
      </c>
      <c r="D22" s="35" t="s">
        <v>12</v>
      </c>
      <c r="F22" s="26"/>
      <c r="G22" s="26"/>
      <c r="H22" s="26"/>
    </row>
    <row r="23" spans="2:8" ht="12.75">
      <c r="B23" s="29" t="s">
        <v>7</v>
      </c>
      <c r="C23" s="78">
        <f>Berechnungsgrößen!D19</f>
        <v>1.23</v>
      </c>
      <c r="D23" s="30" t="s">
        <v>13</v>
      </c>
      <c r="F23" s="27"/>
      <c r="G23" s="26"/>
      <c r="H23" s="26"/>
    </row>
    <row r="24" spans="2:8" ht="12.75">
      <c r="B24" s="29" t="s">
        <v>8</v>
      </c>
      <c r="C24" s="78">
        <f>Berechnungsgrößen!D20</f>
        <v>1.68</v>
      </c>
      <c r="D24" s="30" t="s">
        <v>13</v>
      </c>
      <c r="F24" s="27"/>
      <c r="G24" s="26"/>
      <c r="H24" s="26"/>
    </row>
    <row r="25" spans="2:8" ht="12.75">
      <c r="B25" s="29" t="s">
        <v>9</v>
      </c>
      <c r="C25" s="78">
        <f>Berechnungsgrößen!D21</f>
        <v>1.25</v>
      </c>
      <c r="D25" s="30" t="s">
        <v>13</v>
      </c>
      <c r="F25" s="27"/>
      <c r="G25" s="26"/>
      <c r="H25" s="26"/>
    </row>
    <row r="26" spans="2:8" ht="12.75">
      <c r="B26" s="29" t="s">
        <v>14</v>
      </c>
      <c r="C26" s="78">
        <f>Berechnungsgrößen!D22</f>
        <v>1.24</v>
      </c>
      <c r="D26" s="30" t="s">
        <v>13</v>
      </c>
      <c r="F26" s="27"/>
      <c r="G26" s="26"/>
      <c r="H26" s="26"/>
    </row>
    <row r="27" spans="2:8" ht="12.75">
      <c r="B27" s="29" t="s">
        <v>15</v>
      </c>
      <c r="C27" s="78">
        <f>Berechnungsgrößen!D23</f>
        <v>1.64</v>
      </c>
      <c r="D27" s="30" t="s">
        <v>13</v>
      </c>
      <c r="F27" s="27"/>
      <c r="G27" s="26"/>
      <c r="H27" s="26"/>
    </row>
    <row r="28" spans="2:8" ht="12.75">
      <c r="B28" s="31" t="s">
        <v>16</v>
      </c>
      <c r="C28" s="78">
        <f>Berechnungsgrößen!D25</f>
        <v>2.6</v>
      </c>
      <c r="D28" s="30" t="s">
        <v>13</v>
      </c>
      <c r="F28" s="28"/>
      <c r="G28" s="26"/>
      <c r="H28" s="26"/>
    </row>
    <row r="29" spans="2:8" ht="12.75">
      <c r="B29" s="31" t="s">
        <v>17</v>
      </c>
      <c r="C29" s="78">
        <f>Berechnungsgrößen!D26</f>
        <v>3.84</v>
      </c>
      <c r="D29" s="80">
        <f>Berechnungsgrößen!E26</f>
        <v>1.81</v>
      </c>
      <c r="F29" s="28"/>
      <c r="G29" s="26"/>
      <c r="H29" s="26"/>
    </row>
    <row r="30" spans="2:8" ht="12.75">
      <c r="B30" s="31" t="s">
        <v>18</v>
      </c>
      <c r="C30" s="78">
        <f>Berechnungsgrößen!D27</f>
        <v>2.51</v>
      </c>
      <c r="D30" s="80">
        <f>Berechnungsgrößen!E27</f>
        <v>0.04</v>
      </c>
      <c r="F30" s="28"/>
      <c r="G30" s="26"/>
      <c r="H30" s="26"/>
    </row>
    <row r="31" spans="2:8" ht="12.75">
      <c r="B31" s="31" t="s">
        <v>19</v>
      </c>
      <c r="C31" s="78">
        <f>Berechnungsgrößen!D28</f>
        <v>5.19</v>
      </c>
      <c r="D31" s="80">
        <f>Berechnungsgrößen!E28</f>
        <v>4.8</v>
      </c>
      <c r="F31" s="28"/>
      <c r="G31" s="26"/>
      <c r="H31" s="26"/>
    </row>
    <row r="32" spans="2:8" ht="12.75">
      <c r="B32" s="31" t="s">
        <v>20</v>
      </c>
      <c r="C32" s="78">
        <f>Berechnungsgrößen!D29</f>
        <v>4.34</v>
      </c>
      <c r="D32" s="80">
        <f>Berechnungsgrößen!E29</f>
        <v>3.7</v>
      </c>
      <c r="F32" s="28"/>
      <c r="G32" s="26"/>
      <c r="H32" s="26"/>
    </row>
    <row r="33" spans="2:8" ht="12.75">
      <c r="B33" s="31" t="s">
        <v>21</v>
      </c>
      <c r="C33" s="78">
        <f>Berechnungsgrößen!D30</f>
        <v>5.79</v>
      </c>
      <c r="D33" s="80">
        <f>Berechnungsgrößen!E30</f>
        <v>2.42</v>
      </c>
      <c r="F33" s="28"/>
      <c r="G33" s="26"/>
      <c r="H33" s="26"/>
    </row>
    <row r="34" spans="2:8" ht="13.5" thickBot="1">
      <c r="B34" s="32" t="s">
        <v>22</v>
      </c>
      <c r="C34" s="79">
        <f>Berechnungsgrößen!D31</f>
        <v>5.29</v>
      </c>
      <c r="D34" s="25" t="s">
        <v>13</v>
      </c>
      <c r="F34" s="28"/>
      <c r="G34" s="26"/>
      <c r="H34" s="26"/>
    </row>
    <row r="35" spans="6:8" ht="12.75">
      <c r="F35" s="26"/>
      <c r="G35" s="26"/>
      <c r="H35" s="26"/>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 Kultusministerium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Sidortschuk</dc:creator>
  <cp:keywords/>
  <dc:description/>
  <cp:lastModifiedBy>Sidortschuk</cp:lastModifiedBy>
  <cp:lastPrinted>2007-11-02T06:59:27Z</cp:lastPrinted>
  <dcterms:created xsi:type="dcterms:W3CDTF">2007-05-10T11:29:47Z</dcterms:created>
  <dcterms:modified xsi:type="dcterms:W3CDTF">2008-07-30T05:39:23Z</dcterms:modified>
  <cp:category/>
  <cp:version/>
  <cp:contentType/>
  <cp:contentStatus/>
</cp:coreProperties>
</file>