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 codeName="{4D1C537B-E38A-612A-F078-A93A15B4B7F4}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osenbergAndreaMK\Downloads\"/>
    </mc:Choice>
  </mc:AlternateContent>
  <xr:revisionPtr revIDLastSave="0" documentId="8_{303A9285-BB41-4C86-9468-420EA788323C}" xr6:coauthVersionLast="47" xr6:coauthVersionMax="47" xr10:uidLastSave="{00000000-0000-0000-0000-000000000000}"/>
  <bookViews>
    <workbookView xWindow="-120" yWindow="-120" windowWidth="29040" windowHeight="15720" xr2:uid="{75B2150D-1940-461A-9FD9-7A9B12698757}"/>
  </bookViews>
  <sheets>
    <sheet name="Prognose" sheetId="1" r:id="rId1"/>
    <sheet name="Berechnungsparameter" sheetId="4" r:id="rId2"/>
    <sheet name="Daten" sheetId="5" state="hidden" r:id="rId3"/>
  </sheets>
  <definedNames>
    <definedName name="LESE">Berechnungsparameter!$K$34</definedName>
    <definedName name="LGE">Berechnungsparameter!$K$36</definedName>
    <definedName name="LGesSSekI">Berechnungsparameter!$K$29</definedName>
    <definedName name="LGesSSekII">Berechnungsparameter!$K$30</definedName>
    <definedName name="LGS">Berechnungsparameter!$K$25</definedName>
    <definedName name="LGymSekI">Berechnungsparameter!$K$31</definedName>
    <definedName name="LGymSekII">Berechnungsparameter!$K$32</definedName>
    <definedName name="LHÖ">Berechnungsparameter!$K$39</definedName>
    <definedName name="LHS">Berechnungsparameter!$K$26</definedName>
    <definedName name="LKME">Berechnungsparameter!$K$37</definedName>
    <definedName name="LLE">Berechnungsparameter!$K$33</definedName>
    <definedName name="LObS">Berechnungsparameter!$K$28</definedName>
    <definedName name="LRS">Berechnungsparameter!$K$27</definedName>
    <definedName name="LSE">Berechnungsparameter!$K$38</definedName>
    <definedName name="LSP">Berechnungsparameter!$K$35</definedName>
    <definedName name="PMESE">Berechnungsparameter!$Q$34</definedName>
    <definedName name="PMGE">Berechnungsparameter!$Q$36</definedName>
    <definedName name="PMKME">Berechnungsparameter!$Q$37</definedName>
    <definedName name="PMSE">Berechnungsparameter!$Q$38</definedName>
    <definedName name="rDB">Daten!$C$21</definedName>
    <definedName name="rDB_J_N">Prognose!$D$9</definedName>
    <definedName name="SatzFöS">Berechnungsparameter!$K$11</definedName>
    <definedName name="SatzGes">Berechnungsparameter!$K$9</definedName>
    <definedName name="SatzGS">Berechnungsparameter!$K$5</definedName>
    <definedName name="SatzGym">Berechnungsparameter!$K$10</definedName>
    <definedName name="SatzHS">Berechnungsparameter!$K$6</definedName>
    <definedName name="SatzObS">Berechnungsparameter!$K$8</definedName>
    <definedName name="SatzPM">Berechnungsparameter!$K$19</definedName>
    <definedName name="SatzRS">Berechnungsparameter!$K$7</definedName>
    <definedName name="Schulformauswahl">Prognose!$D$5</definedName>
    <definedName name="SF">Daten!$C$5</definedName>
    <definedName name="ZV">Daten!$C$16</definedName>
    <definedName name="ZV_J_N">Prognose!$D$7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32" i="1"/>
  <c r="C21" i="5" l="1"/>
  <c r="B25" i="1" s="1"/>
  <c r="C16" i="5"/>
  <c r="C5" i="5"/>
  <c r="J24" i="1" l="1"/>
  <c r="B12" i="1"/>
  <c r="M5" i="1"/>
  <c r="L5" i="1"/>
  <c r="F26" i="1"/>
  <c r="L20" i="1"/>
  <c r="J25" i="1"/>
  <c r="A30" i="1"/>
  <c r="G26" i="1"/>
  <c r="A31" i="1"/>
  <c r="B33" i="1"/>
  <c r="A20" i="1"/>
  <c r="M20" i="1"/>
  <c r="H26" i="1"/>
  <c r="C12" i="1"/>
  <c r="B23" i="1"/>
  <c r="E12" i="1"/>
  <c r="D12" i="1"/>
  <c r="K12" i="1"/>
  <c r="L12" i="1"/>
  <c r="G12" i="1"/>
  <c r="F12" i="1"/>
  <c r="I24" i="1"/>
  <c r="H12" i="1"/>
  <c r="I25" i="1"/>
  <c r="I12" i="1"/>
  <c r="J12" i="1"/>
  <c r="M12" i="1"/>
  <c r="J26" i="1" l="1"/>
  <c r="H23" i="1"/>
  <c r="J23" i="1"/>
  <c r="I23" i="1"/>
  <c r="D30" i="1"/>
  <c r="D31" i="1"/>
  <c r="I26" i="1"/>
  <c r="I14" i="1" l="1"/>
  <c r="M19" i="1"/>
  <c r="M17" i="1"/>
  <c r="G15" i="1"/>
  <c r="G14" i="1"/>
  <c r="G13" i="1"/>
  <c r="I19" i="1"/>
  <c r="I18" i="1"/>
  <c r="I17" i="1"/>
  <c r="I16" i="1"/>
  <c r="I15" i="1"/>
  <c r="H19" i="1"/>
  <c r="H18" i="1"/>
  <c r="H17" i="1"/>
  <c r="H16" i="1"/>
  <c r="H15" i="1"/>
  <c r="H14" i="1"/>
  <c r="H13" i="1"/>
  <c r="B13" i="1"/>
  <c r="B16" i="1"/>
  <c r="G16" i="1"/>
  <c r="G17" i="1"/>
  <c r="G18" i="1"/>
  <c r="G19" i="1"/>
  <c r="B14" i="1"/>
  <c r="K17" i="1" l="1"/>
  <c r="K19" i="1"/>
  <c r="K14" i="1"/>
  <c r="K15" i="1"/>
  <c r="K16" i="1"/>
  <c r="K18" i="1"/>
  <c r="B24" i="1" l="1"/>
  <c r="B19" i="1"/>
  <c r="B18" i="1"/>
  <c r="B17" i="1"/>
  <c r="F16" i="1"/>
  <c r="J16" i="1" s="1"/>
  <c r="B15" i="1"/>
  <c r="F14" i="1"/>
  <c r="J14" i="1" s="1"/>
  <c r="F13" i="1"/>
  <c r="J13" i="1" s="1"/>
  <c r="F17" i="1" l="1"/>
  <c r="J17" i="1" s="1"/>
  <c r="F18" i="1"/>
  <c r="J18" i="1" s="1"/>
  <c r="F19" i="1"/>
  <c r="J19" i="1" s="1"/>
  <c r="F15" i="1"/>
  <c r="J15" i="1" s="1"/>
  <c r="N12" i="1"/>
  <c r="O19" i="4" l="1"/>
  <c r="P19" i="4" s="1"/>
  <c r="D19" i="4" s="1"/>
  <c r="J19" i="4" s="1"/>
  <c r="K19" i="4" s="1"/>
  <c r="O14" i="4"/>
  <c r="P14" i="4" s="1"/>
  <c r="D14" i="4" s="1"/>
  <c r="J14" i="4" s="1"/>
  <c r="K14" i="4" s="1"/>
  <c r="O13" i="4"/>
  <c r="P13" i="4" s="1"/>
  <c r="D13" i="4" s="1"/>
  <c r="J13" i="4" s="1"/>
  <c r="K13" i="4" s="1"/>
  <c r="O12" i="4"/>
  <c r="P12" i="4" s="1"/>
  <c r="D12" i="4" s="1"/>
  <c r="J12" i="4" s="1"/>
  <c r="K12" i="4" s="1"/>
  <c r="L13" i="4" s="1"/>
  <c r="O11" i="4"/>
  <c r="P11" i="4" s="1"/>
  <c r="D11" i="4" s="1"/>
  <c r="J11" i="4" s="1"/>
  <c r="K11" i="4" s="1"/>
  <c r="O10" i="4"/>
  <c r="P10" i="4" s="1"/>
  <c r="D10" i="4" s="1"/>
  <c r="J10" i="4" s="1"/>
  <c r="K10" i="4" s="1"/>
  <c r="O9" i="4"/>
  <c r="P9" i="4" s="1"/>
  <c r="D9" i="4" s="1"/>
  <c r="J9" i="4" s="1"/>
  <c r="K9" i="4" s="1"/>
  <c r="O8" i="4"/>
  <c r="P8" i="4" s="1"/>
  <c r="D8" i="4" s="1"/>
  <c r="J8" i="4" s="1"/>
  <c r="K8" i="4" s="1"/>
  <c r="O7" i="4"/>
  <c r="P7" i="4" s="1"/>
  <c r="D7" i="4" s="1"/>
  <c r="J7" i="4" s="1"/>
  <c r="K7" i="4" s="1"/>
  <c r="O6" i="4"/>
  <c r="P6" i="4" s="1"/>
  <c r="D6" i="4" s="1"/>
  <c r="J6" i="4" s="1"/>
  <c r="K6" i="4" s="1"/>
  <c r="O5" i="4"/>
  <c r="P5" i="4" s="1"/>
  <c r="D5" i="4" s="1"/>
  <c r="J5" i="4" s="1"/>
  <c r="K5" i="4" s="1"/>
  <c r="M16" i="1" l="1"/>
  <c r="M15" i="1"/>
  <c r="M14" i="1"/>
  <c r="M18" i="1"/>
  <c r="L14" i="1"/>
  <c r="N14" i="1" s="1"/>
  <c r="L13" i="1"/>
  <c r="N13" i="1" s="1"/>
  <c r="L17" i="1"/>
  <c r="N17" i="1" s="1"/>
  <c r="L18" i="1"/>
  <c r="L19" i="1"/>
  <c r="N19" i="1" s="1"/>
  <c r="L16" i="1"/>
  <c r="L15" i="1"/>
  <c r="N15" i="1" l="1"/>
  <c r="N18" i="1"/>
  <c r="N16" i="1"/>
  <c r="N20" i="1" l="1"/>
  <c r="D29" i="1" s="1"/>
  <c r="D3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C816B2-6BED-4D95-AC08-A1B1EE21C283}" keepAlive="1" name="Abfrage - Tabelle3" description="Verbindung mit der Abfrage 'Tabelle3' in der Arbeitsmappe." type="5" refreshedVersion="7" background="1" saveData="1">
    <dbPr connection="Provider=Microsoft.Mashup.OleDb.1;Data Source=$Workbook$;Location=Tabelle3;Extended Properties=&quot;&quot;" command="SELECT * FROM [Tabelle3]"/>
  </connection>
</connections>
</file>

<file path=xl/sharedStrings.xml><?xml version="1.0" encoding="utf-8"?>
<sst xmlns="http://schemas.openxmlformats.org/spreadsheetml/2006/main" count="141" uniqueCount="90">
  <si>
    <t>Grundschule</t>
  </si>
  <si>
    <t>Gesamtschule Sek I</t>
  </si>
  <si>
    <t>Förderschule LE</t>
  </si>
  <si>
    <t>Förderschule ESE</t>
  </si>
  <si>
    <t>Förderschule Sprache</t>
  </si>
  <si>
    <t>Förderschule GE</t>
  </si>
  <si>
    <t>Förderschule KME</t>
  </si>
  <si>
    <t>Förderschule Sehen</t>
  </si>
  <si>
    <t>Förderschule Hören</t>
  </si>
  <si>
    <t>Hauptschule</t>
  </si>
  <si>
    <t>Realschule</t>
  </si>
  <si>
    <t>Oberschule</t>
  </si>
  <si>
    <t>Gymnasium Sek I</t>
  </si>
  <si>
    <t>Gymnasium Sek II</t>
  </si>
  <si>
    <t>Grundbetrag Finanzhilfe</t>
  </si>
  <si>
    <t>Maximal mögliche Finanzhilfe</t>
  </si>
  <si>
    <t>Gesamtschule Sek II</t>
  </si>
  <si>
    <t>Schulform</t>
  </si>
  <si>
    <t>1.1</t>
  </si>
  <si>
    <t>1.2</t>
  </si>
  <si>
    <t>1.3</t>
  </si>
  <si>
    <t>1.4</t>
  </si>
  <si>
    <t>1.5</t>
  </si>
  <si>
    <t>1.6</t>
  </si>
  <si>
    <t>1.7</t>
  </si>
  <si>
    <t>3.1</t>
  </si>
  <si>
    <t>Parameter LK</t>
  </si>
  <si>
    <t xml:space="preserve">Entgeltgruppe </t>
  </si>
  <si>
    <t>Jahresentgelt - 6,9 % ZVL + 0,8 % Sachkosten</t>
  </si>
  <si>
    <t>Faktor F</t>
  </si>
  <si>
    <t>Regelstundenzahl</t>
  </si>
  <si>
    <t>Faktor AS</t>
  </si>
  <si>
    <t>Faktor S</t>
  </si>
  <si>
    <t>Abschlag</t>
  </si>
  <si>
    <t>Durchsnittliches Jahresentgelt</t>
  </si>
  <si>
    <t xml:space="preserve"> - 6,9 % Zusatzversorgung</t>
  </si>
  <si>
    <t xml:space="preserve"> + 0,8 % personalbezogene Sachkosten</t>
  </si>
  <si>
    <t>E 13</t>
  </si>
  <si>
    <t>Gesamtschule</t>
  </si>
  <si>
    <t>Gymnasium</t>
  </si>
  <si>
    <t>Förderschule</t>
  </si>
  <si>
    <t xml:space="preserve">Berufsbildende Schule – Theorie LK </t>
  </si>
  <si>
    <t xml:space="preserve">Berufsbildende Schule – Fach LK </t>
  </si>
  <si>
    <t>E 12</t>
  </si>
  <si>
    <t xml:space="preserve">Berufsbildende Schule – Fachpraxis LK </t>
  </si>
  <si>
    <t>E 9b</t>
  </si>
  <si>
    <t>Parameter PM</t>
  </si>
  <si>
    <t>Wöchentliche Arbeitszeit</t>
  </si>
  <si>
    <t>E9a</t>
  </si>
  <si>
    <t>Abschnitt I (Eingabefelder)</t>
  </si>
  <si>
    <t>2.1</t>
  </si>
  <si>
    <t>Lehrkräfte</t>
  </si>
  <si>
    <t>Pädagogische Mitarbeiter:</t>
  </si>
  <si>
    <t>Dieses Formular dient allein der Prognose der voraussichtlichen Finanzhilfe. Die tatsächliche Höhe wird ausschließlich durch die Abrechnung festgesetzt.</t>
  </si>
  <si>
    <t>Die Prognose basiert auf Ihren Eingaben. Maßgeblich für die tatsächliche Höhe ist der Mittelwert der Schülerzahlen (15.11. u. 15.03.) sowie die Ist-Stunden aus der amtlichen Statistik</t>
  </si>
  <si>
    <t>Die Erhöhungsbeträge nach § 150 Abs. 7 NSchG sowie die Bereinigung des Grunbetrages werden spitz abgerechnet und werden in diesem Prognosemodul nicht abgebildet.</t>
  </si>
  <si>
    <t>Stundensatz</t>
  </si>
  <si>
    <r>
      <t>Stundensatz</t>
    </r>
    <r>
      <rPr>
        <sz val="11"/>
        <rFont val="Calibri"/>
        <family val="2"/>
        <scheme val="minor"/>
      </rPr>
      <t xml:space="preserve"> kaufmännisch gerundet</t>
    </r>
  </si>
  <si>
    <t>Datenbasis für Prognoseblatt</t>
  </si>
  <si>
    <t>1. Schulformen (Quelle für das Auswahlfeld unter 1.)</t>
  </si>
  <si>
    <t>(noch keine Auswahl)</t>
  </si>
  <si>
    <t>Freie Waldorfschule mit Förderschulzweig</t>
  </si>
  <si>
    <t>Freie Waldorfschule ohne Förderschulzweig</t>
  </si>
  <si>
    <t>Schulform (SF)</t>
  </si>
  <si>
    <t>2. Zusatzversorgung</t>
  </si>
  <si>
    <t>nein</t>
  </si>
  <si>
    <t>ja</t>
  </si>
  <si>
    <t>ZV</t>
  </si>
  <si>
    <t>3 ruhegehaltsfähigen Dienstbezüge</t>
  </si>
  <si>
    <t>rDB</t>
  </si>
  <si>
    <t>./.</t>
  </si>
  <si>
    <t>Lehr-
personal</t>
  </si>
  <si>
    <t>Zusatz-
personal</t>
  </si>
  <si>
    <t>Abschnitt III (Ergebnisse)</t>
  </si>
  <si>
    <t>Abschnitt IV (Nachrichtlich - Berechnungparameter)</t>
  </si>
  <si>
    <t>Abschnitt V (Nachrichtlich Schülerstunden nach Anlage 1 zu § 1 Abs. 1 Finanzhilfeverordnung)</t>
  </si>
  <si>
    <t>Abschnitt VI (Hinweise)</t>
  </si>
  <si>
    <t>Wählen Sie bitte zunächst für Ihre Schule die Schulform bzw. -art aus</t>
  </si>
  <si>
    <t>Leisten Sie für Ihre Lehrkräfte bzw. Ihr Zusatzpersonal eine Zusatzversorgung?</t>
  </si>
  <si>
    <t>Leisten Sie Beiträge zur Altersvorsorge für von der Rentenversicherung befreite Lehrkräfte?</t>
  </si>
  <si>
    <t>Abschnitt II (Erhöhngsbetrag)</t>
  </si>
  <si>
    <t>4.1</t>
  </si>
  <si>
    <t>4.2</t>
  </si>
  <si>
    <t>Maximal möglicher Erhöhungsbetrag
§ 3 Abs. 2 Nr. 1 FinHVO</t>
  </si>
  <si>
    <t>Maximal möglicher Erhöhungsbetrag
§ 3 Abs. 2 Nr. 2 FinHVO</t>
  </si>
  <si>
    <r>
      <t xml:space="preserve">Auf dieser Seite können Sie die Höhe des Grundbetrages, die maximale Höhe des Erhöhungsbetrages und damit die maximale Höhe der Finanzhilfe für Ihre Schule </t>
    </r>
    <r>
      <rPr>
        <b/>
        <sz val="10"/>
        <rFont val="Arial"/>
        <family val="2"/>
      </rPr>
      <t>prognostizieren</t>
    </r>
    <r>
      <rPr>
        <sz val="10"/>
        <rFont val="Arial"/>
        <family val="2"/>
      </rPr>
      <t xml:space="preserve">. 
Erforderlich ist dazu nur, dass Sie </t>
    </r>
    <r>
      <rPr>
        <b/>
        <u/>
        <sz val="10"/>
        <color indexed="12"/>
        <rFont val="Arial"/>
        <family val="2"/>
      </rPr>
      <t>die entsprechende Schulform auswählen, sowie die Angaben zur Zusatzversorgung und Altersvorsorge für von der Rentenversicherung befreite Lehrkräfte</t>
    </r>
    <r>
      <rPr>
        <sz val="10"/>
        <rFont val="Arial"/>
        <family val="2"/>
      </rPr>
      <t xml:space="preserve"> angeben.
</t>
    </r>
    <r>
      <rPr>
        <b/>
        <u/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Anschließend erfassen Sie bitte unter</t>
    </r>
    <r>
      <rPr>
        <sz val="10"/>
        <color theme="4" tint="-0.249977111117893"/>
        <rFont val="Arial"/>
        <family val="2"/>
      </rPr>
      <t xml:space="preserve"> </t>
    </r>
    <r>
      <rPr>
        <b/>
        <u/>
        <sz val="10"/>
        <color indexed="12"/>
        <rFont val="Arial"/>
        <family val="2"/>
      </rPr>
      <t>Abschnitt I und Abschnitt II die Daten Ihrer Schule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in den grün hinterlegten Feldern.</t>
    </r>
  </si>
  <si>
    <t>Grund- und/oder Oberschule</t>
  </si>
  <si>
    <t>Grund-, Haupt- oder Realschule</t>
  </si>
  <si>
    <t>Pädagogische
Mitarbeiter:</t>
  </si>
  <si>
    <t>Finanzhilfeprognose für allgemeinbildende Schulen in  freier Trägerschaft für das Schuljahr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</si>
</sst>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4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0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4" fontId="12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horizontal="right" vertical="center"/>
    </xf>
    <xf numFmtId="14" fontId="14" fillId="7" borderId="0" xfId="0" applyNumberFormat="1" applyFont="1" applyFill="1" applyAlignment="1">
      <alignment horizontal="left" vertical="center"/>
    </xf>
    <xf numFmtId="0" fontId="11" fillId="7" borderId="0" xfId="0" applyFont="1" applyFill="1" applyAlignment="1"/>
    <xf numFmtId="0" fontId="16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>
      <alignment vertical="center" wrapText="1"/>
    </xf>
    <xf numFmtId="0" fontId="12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horizontal="center" vertical="center"/>
    </xf>
    <xf numFmtId="2" fontId="12" fillId="7" borderId="0" xfId="0" applyNumberFormat="1" applyFont="1" applyFill="1" applyBorder="1" applyAlignment="1" applyProtection="1">
      <alignment horizontal="center" vertical="center"/>
      <protection hidden="1"/>
    </xf>
    <xf numFmtId="2" fontId="12" fillId="7" borderId="0" xfId="0" applyNumberFormat="1" applyFont="1" applyFill="1" applyBorder="1" applyAlignment="1">
      <alignment horizontal="center" vertical="center"/>
    </xf>
    <xf numFmtId="165" fontId="12" fillId="7" borderId="0" xfId="0" applyNumberFormat="1" applyFont="1" applyFill="1" applyBorder="1" applyAlignment="1" applyProtection="1">
      <alignment horizontal="center" vertical="center"/>
      <protection hidden="1"/>
    </xf>
    <xf numFmtId="165" fontId="12" fillId="7" borderId="0" xfId="0" applyNumberFormat="1" applyFont="1" applyFill="1" applyBorder="1" applyAlignment="1">
      <alignment vertical="center"/>
    </xf>
    <xf numFmtId="165" fontId="13" fillId="7" borderId="0" xfId="0" applyNumberFormat="1" applyFont="1" applyFill="1" applyBorder="1" applyAlignment="1">
      <alignment vertical="center"/>
    </xf>
    <xf numFmtId="165" fontId="13" fillId="7" borderId="0" xfId="0" applyNumberFormat="1" applyFont="1" applyFill="1" applyBorder="1" applyAlignment="1">
      <alignment horizontal="center" vertical="center" wrapText="1"/>
    </xf>
    <xf numFmtId="4" fontId="12" fillId="7" borderId="0" xfId="0" applyNumberFormat="1" applyFont="1" applyFill="1" applyBorder="1" applyAlignment="1">
      <alignment vertical="center"/>
    </xf>
    <xf numFmtId="165" fontId="12" fillId="7" borderId="4" xfId="0" applyNumberFormat="1" applyFont="1" applyFill="1" applyBorder="1" applyAlignment="1">
      <alignment vertical="center"/>
    </xf>
    <xf numFmtId="0" fontId="12" fillId="7" borderId="0" xfId="0" applyFont="1" applyFill="1" applyBorder="1" applyAlignment="1">
      <alignment horizontal="left" vertical="center" wrapText="1"/>
    </xf>
    <xf numFmtId="165" fontId="13" fillId="7" borderId="0" xfId="0" applyNumberFormat="1" applyFont="1" applyFill="1" applyBorder="1" applyAlignment="1">
      <alignment horizontal="right" vertical="center"/>
    </xf>
    <xf numFmtId="165" fontId="13" fillId="7" borderId="0" xfId="0" applyNumberFormat="1" applyFont="1" applyFill="1" applyBorder="1" applyAlignment="1">
      <alignment horizontal="right" vertical="center" wrapText="1"/>
    </xf>
    <xf numFmtId="0" fontId="13" fillId="7" borderId="0" xfId="0" applyFont="1" applyFill="1" applyBorder="1" applyAlignment="1">
      <alignment vertical="center"/>
    </xf>
    <xf numFmtId="165" fontId="13" fillId="7" borderId="4" xfId="0" applyNumberFormat="1" applyFont="1" applyFill="1" applyBorder="1" applyAlignment="1">
      <alignment vertical="center"/>
    </xf>
    <xf numFmtId="0" fontId="16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 indent="2"/>
    </xf>
    <xf numFmtId="0" fontId="11" fillId="7" borderId="0" xfId="0" applyFont="1" applyFill="1" applyAlignment="1">
      <alignment horizontal="left" vertical="center" indent="2"/>
    </xf>
    <xf numFmtId="0" fontId="12" fillId="7" borderId="0" xfId="0" applyFont="1" applyFill="1" applyAlignment="1">
      <alignment horizontal="left" vertical="center" wrapText="1" indent="2"/>
    </xf>
    <xf numFmtId="49" fontId="12" fillId="7" borderId="0" xfId="0" applyNumberFormat="1" applyFont="1" applyFill="1" applyAlignment="1">
      <alignment horizontal="left" vertical="center" indent="2"/>
    </xf>
    <xf numFmtId="0" fontId="12" fillId="7" borderId="0" xfId="0" applyNumberFormat="1" applyFont="1" applyFill="1" applyAlignment="1">
      <alignment horizontal="left" vertical="center" indent="2"/>
    </xf>
    <xf numFmtId="49" fontId="12" fillId="7" borderId="0" xfId="0" applyNumberFormat="1" applyFont="1" applyFill="1" applyBorder="1" applyAlignment="1">
      <alignment horizontal="left" vertical="center" indent="2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165" fontId="12" fillId="8" borderId="7" xfId="0" applyNumberFormat="1" applyFont="1" applyFill="1" applyBorder="1" applyAlignment="1" applyProtection="1">
      <alignment vertical="center"/>
      <protection locked="0"/>
    </xf>
    <xf numFmtId="165" fontId="12" fillId="8" borderId="4" xfId="0" applyNumberFormat="1" applyFont="1" applyFill="1" applyBorder="1" applyAlignment="1" applyProtection="1">
      <alignment vertical="center"/>
      <protection locked="0"/>
    </xf>
    <xf numFmtId="0" fontId="16" fillId="8" borderId="4" xfId="0" applyFont="1" applyFill="1" applyBorder="1" applyAlignment="1" applyProtection="1">
      <alignment horizontal="left" vertical="center"/>
      <protection locked="0"/>
    </xf>
    <xf numFmtId="4" fontId="12" fillId="8" borderId="0" xfId="0" applyNumberFormat="1" applyFont="1" applyFill="1" applyBorder="1" applyAlignment="1" applyProtection="1">
      <alignment horizontal="center" vertical="center"/>
      <protection locked="0"/>
    </xf>
    <xf numFmtId="165" fontId="12" fillId="7" borderId="0" xfId="0" applyNumberFormat="1" applyFont="1" applyFill="1" applyBorder="1" applyAlignment="1">
      <alignment horizontal="right" vertical="center"/>
    </xf>
    <xf numFmtId="49" fontId="17" fillId="7" borderId="0" xfId="0" applyNumberFormat="1" applyFont="1" applyFill="1" applyAlignment="1">
      <alignment horizontal="left" vertical="center" indent="2"/>
    </xf>
    <xf numFmtId="0" fontId="5" fillId="0" borderId="4" xfId="0" applyFont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6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center" vertical="center"/>
    </xf>
    <xf numFmtId="0" fontId="5" fillId="5" borderId="14" xfId="0" applyFont="1" applyFill="1" applyBorder="1" applyAlignment="1">
      <alignment horizontal="left" vertical="center" wrapText="1"/>
    </xf>
    <xf numFmtId="4" fontId="4" fillId="5" borderId="15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center" vertical="center" wrapText="1"/>
    </xf>
    <xf numFmtId="4" fontId="6" fillId="5" borderId="13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7" borderId="0" xfId="0" applyFont="1" applyFill="1" applyAlignment="1">
      <alignment horizontal="left" indent="1"/>
    </xf>
    <xf numFmtId="0" fontId="0" fillId="7" borderId="0" xfId="0" applyFont="1" applyFill="1"/>
    <xf numFmtId="0" fontId="1" fillId="7" borderId="0" xfId="0" applyFont="1" applyFill="1"/>
    <xf numFmtId="0" fontId="0" fillId="7" borderId="0" xfId="0" applyFill="1"/>
    <xf numFmtId="49" fontId="3" fillId="7" borderId="0" xfId="0" applyNumberFormat="1" applyFont="1" applyFill="1" applyAlignment="1">
      <alignment horizontal="left" indent="2"/>
    </xf>
    <xf numFmtId="0" fontId="0" fillId="7" borderId="0" xfId="0" applyFill="1" applyAlignment="1">
      <alignment horizontal="left" indent="1"/>
    </xf>
    <xf numFmtId="0" fontId="0" fillId="7" borderId="4" xfId="0" applyFill="1" applyBorder="1" applyAlignment="1">
      <alignment horizontal="center" wrapText="1"/>
    </xf>
    <xf numFmtId="0" fontId="0" fillId="7" borderId="4" xfId="0" applyFont="1" applyFill="1" applyBorder="1" applyAlignment="1">
      <alignment vertical="center"/>
    </xf>
    <xf numFmtId="2" fontId="0" fillId="7" borderId="4" xfId="0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49" fontId="1" fillId="7" borderId="0" xfId="0" applyNumberFormat="1" applyFont="1" applyFill="1" applyAlignment="1">
      <alignment horizontal="left" inden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3" fontId="5" fillId="7" borderId="13" xfId="0" applyNumberFormat="1" applyFont="1" applyFill="1" applyBorder="1" applyAlignment="1">
      <alignment horizontal="center" vertical="center"/>
    </xf>
    <xf numFmtId="4" fontId="5" fillId="7" borderId="13" xfId="0" applyNumberFormat="1" applyFont="1" applyFill="1" applyBorder="1" applyAlignment="1">
      <alignment horizontal="center" vertical="center"/>
    </xf>
    <xf numFmtId="4" fontId="5" fillId="7" borderId="11" xfId="0" applyNumberFormat="1" applyFont="1" applyFill="1" applyBorder="1" applyAlignment="1">
      <alignment horizontal="center" vertical="center"/>
    </xf>
    <xf numFmtId="49" fontId="0" fillId="7" borderId="0" xfId="0" applyNumberFormat="1" applyFont="1" applyFill="1" applyAlignment="1">
      <alignment horizontal="left" indent="1"/>
    </xf>
    <xf numFmtId="49" fontId="0" fillId="7" borderId="0" xfId="0" applyNumberFormat="1" applyFont="1" applyFill="1" applyAlignment="1">
      <alignment horizontal="left" vertical="center" indent="2"/>
    </xf>
    <xf numFmtId="0" fontId="5" fillId="7" borderId="0" xfId="0" applyFont="1" applyFill="1" applyAlignment="1">
      <alignment vertical="center"/>
    </xf>
    <xf numFmtId="49" fontId="0" fillId="7" borderId="0" xfId="0" applyNumberFormat="1" applyFont="1" applyFill="1" applyAlignment="1">
      <alignment horizontal="left" vertical="center" indent="1"/>
    </xf>
    <xf numFmtId="0" fontId="6" fillId="7" borderId="14" xfId="0" applyFont="1" applyFill="1" applyBorder="1" applyAlignment="1">
      <alignment horizontal="center" vertical="center" wrapText="1"/>
    </xf>
    <xf numFmtId="4" fontId="5" fillId="7" borderId="4" xfId="0" applyNumberFormat="1" applyFont="1" applyFill="1" applyBorder="1" applyAlignment="1">
      <alignment horizontal="center" vertical="center"/>
    </xf>
    <xf numFmtId="4" fontId="5" fillId="7" borderId="15" xfId="0" applyNumberFormat="1" applyFont="1" applyFill="1" applyBorder="1" applyAlignment="1">
      <alignment horizontal="center" vertical="center"/>
    </xf>
    <xf numFmtId="4" fontId="7" fillId="7" borderId="0" xfId="0" applyNumberFormat="1" applyFont="1" applyFill="1" applyAlignment="1">
      <alignment horizontal="center" vertical="center"/>
    </xf>
    <xf numFmtId="0" fontId="5" fillId="7" borderId="0" xfId="0" applyFont="1" applyFill="1"/>
    <xf numFmtId="0" fontId="15" fillId="7" borderId="0" xfId="0" applyFont="1" applyFill="1" applyAlignment="1">
      <alignment horizontal="left" vertical="center" indent="2"/>
    </xf>
    <xf numFmtId="0" fontId="11" fillId="7" borderId="0" xfId="0" applyFont="1" applyFill="1" applyAlignment="1">
      <alignment horizontal="left" vertical="center" wrapText="1" indent="2"/>
    </xf>
    <xf numFmtId="0" fontId="16" fillId="8" borderId="4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>
      <alignment horizontal="left" vertical="center" wrapText="1" indent="2"/>
    </xf>
    <xf numFmtId="0" fontId="13" fillId="7" borderId="4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</cellXfs>
  <cellStyles count="1">
    <cellStyle name="Standard" xfId="0" builtinId="0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microsoft.com/office/2006/relationships/vbaProject" Target="vbaProject.bin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15</xdr:row>
      <xdr:rowOff>22410</xdr:rowOff>
    </xdr:from>
    <xdr:to>
      <xdr:col>6</xdr:col>
      <xdr:colOff>1005251</xdr:colOff>
      <xdr:row>15</xdr:row>
      <xdr:rowOff>470647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4" y="14233710"/>
          <a:ext cx="4167552" cy="44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313763</xdr:colOff>
      <xdr:row>1</xdr:row>
      <xdr:rowOff>22413</xdr:rowOff>
    </xdr:from>
    <xdr:to>
      <xdr:col>8</xdr:col>
      <xdr:colOff>179294</xdr:colOff>
      <xdr:row>1</xdr:row>
      <xdr:rowOff>537883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388" y="9852213"/>
          <a:ext cx="5409081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380999</xdr:colOff>
      <xdr:row>15</xdr:row>
      <xdr:rowOff>22410</xdr:rowOff>
    </xdr:from>
    <xdr:to>
      <xdr:col>6</xdr:col>
      <xdr:colOff>1005251</xdr:colOff>
      <xdr:row>15</xdr:row>
      <xdr:rowOff>470647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4" y="13633635"/>
          <a:ext cx="4167552" cy="44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313763</xdr:colOff>
      <xdr:row>1</xdr:row>
      <xdr:rowOff>22413</xdr:rowOff>
    </xdr:from>
    <xdr:to>
      <xdr:col>8</xdr:col>
      <xdr:colOff>179294</xdr:colOff>
      <xdr:row>1</xdr:row>
      <xdr:rowOff>537883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388" y="9842688"/>
          <a:ext cx="5409081" cy="515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8D13-454C-49B9-83BD-6B0A3AC6C64B}">
  <sheetPr codeName="Tabelle1">
    <pageSetUpPr fitToPage="1"/>
  </sheetPr>
  <dimension ref="A1:Q51"/>
  <sheetViews>
    <sheetView showRowColHeaders="0" tabSelected="1" zoomScaleNormal="100" workbookViewId="0">
      <selection activeCell="D5" sqref="D5:F5"/>
    </sheetView>
  </sheetViews>
  <sheetFormatPr baseColWidth="10" defaultColWidth="11.42578125" defaultRowHeight="12.75" x14ac:dyDescent="0.25"/>
  <cols>
    <col min="1" max="1" width="6.7109375" style="35" customWidth="1"/>
    <col min="2" max="2" width="26.28515625" style="8" customWidth="1"/>
    <col min="3" max="4" width="14.7109375" style="8" customWidth="1"/>
    <col min="5" max="5" width="14.7109375" style="8" hidden="1" customWidth="1"/>
    <col min="6" max="6" width="15.28515625" style="8" customWidth="1"/>
    <col min="7" max="7" width="15.28515625" style="8" hidden="1" customWidth="1"/>
    <col min="8" max="8" width="15.28515625" style="8" customWidth="1"/>
    <col min="9" max="9" width="16.28515625" style="8" hidden="1" customWidth="1"/>
    <col min="10" max="10" width="16.28515625" style="8" customWidth="1"/>
    <col min="11" max="11" width="15.28515625" style="8" hidden="1" customWidth="1"/>
    <col min="12" max="12" width="14.7109375" style="8" customWidth="1"/>
    <col min="13" max="13" width="14.7109375" style="8" hidden="1" customWidth="1"/>
    <col min="14" max="14" width="14.7109375" style="10" customWidth="1"/>
    <col min="15" max="16384" width="11.42578125" style="8"/>
  </cols>
  <sheetData>
    <row r="1" spans="1:17" ht="40.15" customHeight="1" x14ac:dyDescent="0.25">
      <c r="A1" s="107" t="s">
        <v>89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7" ht="79.150000000000006" customHeight="1" x14ac:dyDescent="0.25">
      <c r="A2" s="110" t="s">
        <v>85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7" ht="19.899999999999999" customHeight="1" x14ac:dyDescent="0.2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7" ht="19.899999999999999" customHeight="1" x14ac:dyDescent="0.25">
      <c r="D4" s="9"/>
      <c r="N4" s="8"/>
      <c r="Q4" s="10"/>
    </row>
    <row r="5" spans="1:17" ht="28.15" customHeight="1" x14ac:dyDescent="0.25">
      <c r="A5" s="108" t="s">
        <v>77</v>
      </c>
      <c r="B5" s="108"/>
      <c r="C5" s="108"/>
      <c r="D5" s="109" t="s">
        <v>87</v>
      </c>
      <c r="E5" s="109"/>
      <c r="F5" s="109"/>
      <c r="L5" s="11" t="str">
        <f>IF(SF&gt;6,"","Stand:")</f>
        <v>Stand:</v>
      </c>
      <c r="M5" s="11" t="str">
        <f>IF(SF&lt;=6,"","Stand:")</f>
        <v/>
      </c>
      <c r="N5" s="12">
        <v>45839</v>
      </c>
      <c r="Q5" s="10"/>
    </row>
    <row r="6" spans="1:17" x14ac:dyDescent="0.2">
      <c r="A6" s="36"/>
      <c r="B6" s="13"/>
      <c r="C6" s="13"/>
      <c r="N6" s="8"/>
      <c r="Q6" s="10"/>
    </row>
    <row r="7" spans="1:17" ht="28.15" customHeight="1" x14ac:dyDescent="0.25">
      <c r="A7" s="108" t="s">
        <v>78</v>
      </c>
      <c r="B7" s="108"/>
      <c r="C7" s="108"/>
      <c r="D7" s="44" t="s">
        <v>65</v>
      </c>
      <c r="N7" s="8"/>
      <c r="Q7" s="10"/>
    </row>
    <row r="8" spans="1:17" x14ac:dyDescent="0.25">
      <c r="D8" s="9"/>
      <c r="N8" s="8"/>
      <c r="Q8" s="10"/>
    </row>
    <row r="9" spans="1:17" ht="28.15" customHeight="1" x14ac:dyDescent="0.25">
      <c r="A9" s="108" t="s">
        <v>79</v>
      </c>
      <c r="B9" s="108"/>
      <c r="C9" s="108"/>
      <c r="D9" s="44" t="s">
        <v>65</v>
      </c>
      <c r="N9" s="8"/>
      <c r="Q9" s="10"/>
    </row>
    <row r="10" spans="1:17" ht="19.899999999999999" customHeight="1" x14ac:dyDescent="0.25"/>
    <row r="11" spans="1:17" x14ac:dyDescent="0.25">
      <c r="A11" s="47" t="s">
        <v>49</v>
      </c>
    </row>
    <row r="12" spans="1:17" s="17" customFormat="1" ht="75" customHeight="1" x14ac:dyDescent="0.25">
      <c r="A12" s="37"/>
      <c r="B12" s="14" t="str">
        <f>IF(SF=1,"Sie haben bisher keine Schulfom ausgewählt!","Schulform, -gliederung, oder -zweig")</f>
        <v>Schulform, -gliederung, oder -zweig</v>
      </c>
      <c r="C12" s="15" t="str">
        <f>IF(SF=1,"","Zahl SuS")</f>
        <v>Zahl SuS</v>
      </c>
      <c r="D12" s="15" t="str">
        <f>IF(SF=1,"","Ist Stunden
LK")</f>
        <v>Ist Stunden
LK</v>
      </c>
      <c r="E12" s="15" t="str">
        <f>IF(OR(SF=7,SF=8),"Ist Stunden
PM","")</f>
        <v/>
      </c>
      <c r="F12" s="16" t="str">
        <f>IF(SF=1,"","Tatsächliche Schülerstunden
LK")</f>
        <v>Tatsächliche Schülerstunden
LK</v>
      </c>
      <c r="G12" s="16" t="str">
        <f>IF(OR(SF=7,SF=8),"Tatsächliche Schülerstunden
PM","")</f>
        <v/>
      </c>
      <c r="H12" s="15" t="str">
        <f>IF(SF=1,"","Nominelle Schülerstunden
LK")</f>
        <v>Nominelle Schülerstunden
LK</v>
      </c>
      <c r="I12" s="15" t="str">
        <f>IF(OR(SF=7,SF=8),"Nominelle Schülerstunden
PM","")</f>
        <v/>
      </c>
      <c r="J12" s="15" t="str">
        <f>IF(SF=1,"","Maßgebliche Schülerstunden
LK")</f>
        <v>Maßgebliche Schülerstunden
LK</v>
      </c>
      <c r="K12" s="15" t="str">
        <f>IF(OR(SF=7,SF=8),"Maßgebliche Schülerstunden
PM","")</f>
        <v/>
      </c>
      <c r="L12" s="15" t="str">
        <f>IF(SF=1,"","Stundensatz
LK")</f>
        <v>Stundensatz
LK</v>
      </c>
      <c r="M12" s="15" t="str">
        <f>IF(OR(SF=7,SF=8),"Stundensatz
PM","")</f>
        <v/>
      </c>
      <c r="N12" s="15" t="str">
        <f>IF(SF=1,"","Grundbetrag Finanzhilfe")</f>
        <v>Grundbetrag Finanzhilfe</v>
      </c>
    </row>
    <row r="13" spans="1:17" s="17" customFormat="1" ht="19.899999999999999" customHeight="1" x14ac:dyDescent="0.25">
      <c r="A13" s="38" t="s">
        <v>18</v>
      </c>
      <c r="B13" s="18" t="str">
        <f>IF(OR(SF=2,SF=3),"Grundschule",IF(OR(SF=4,SF=6,SF=7),"Primar",IF(SF=5,"Sek I",IF(SF=8,"FöS LE",""))))</f>
        <v>Grundschule</v>
      </c>
      <c r="C13" s="41"/>
      <c r="D13" s="45"/>
      <c r="E13" s="45"/>
      <c r="F13" s="20">
        <f>IF(B13="","",IF(C13&gt;0,D13/C13,0))</f>
        <v>0</v>
      </c>
      <c r="G13" s="20" t="str">
        <f>IF(SF=8,IF(C13&gt;0,E13/C13,0),"")</f>
        <v/>
      </c>
      <c r="H13" s="7">
        <f>IF(OR(SF=2,SF=3,SF=4,SF=6,SF=7),LGS,IF(SF=5,LGymSekI,IF(SF=8,LLE,"")))</f>
        <v>1.51</v>
      </c>
      <c r="I13" s="7"/>
      <c r="J13" s="21">
        <f>IF(B13="","",IF(H13&lt;F13,H13,F13))</f>
        <v>0</v>
      </c>
      <c r="K13" s="7"/>
      <c r="L13" s="22">
        <f>IF(OR(SF=2,SF=3,SF=4,SF=6,SF=7),SatzGS,IF(SF=5,SatzGym,IF(SF=8,SatzFöS,"")))</f>
        <v>3419.3730001495678</v>
      </c>
      <c r="M13" s="22"/>
      <c r="N13" s="46">
        <f t="shared" ref="N13:N15" si="0">IF(B13="","",IF(AND(C13&gt;0,K13&lt;&gt;""),L13*J13*C13+M13*K13*C13,IF(AND(C13&gt;0,K13=""),L13*J13*C13,0)))</f>
        <v>0</v>
      </c>
    </row>
    <row r="14" spans="1:17" s="17" customFormat="1" ht="19.899999999999999" customHeight="1" x14ac:dyDescent="0.25">
      <c r="A14" s="38" t="s">
        <v>19</v>
      </c>
      <c r="B14" s="18" t="str">
        <f>IF(OR(SF=4,SF=6,SF=7),"Sek I",IF(SF=2,"Hauptschule",IF(SF=3,"Oberschule",IF(SF=5,"Sek II",IF(SF=8,"FöS ESE","")))))</f>
        <v>Hauptschule</v>
      </c>
      <c r="C14" s="41"/>
      <c r="D14" s="45"/>
      <c r="E14" s="45"/>
      <c r="F14" s="20">
        <f t="shared" ref="F14:F19" si="1">IF(B14="","",IF(C14&gt;0,D14/C14,0))</f>
        <v>0</v>
      </c>
      <c r="G14" s="20" t="str">
        <f>IF(SF=8,IF(C14&gt;0,E14/C14,0),"")</f>
        <v/>
      </c>
      <c r="H14" s="7">
        <f>IF(SF=2,LHS,IF(SF=3,LObS,IF(SF=4,LGesSSekI,IF(SF=5,LGymSekII,IF(OR(SF=6,SF=7),LGymSekI,IF(SF=8,LESE,""))))))</f>
        <v>2.16</v>
      </c>
      <c r="I14" s="7" t="str">
        <f>IF(SF=8,PMESE,"")</f>
        <v/>
      </c>
      <c r="J14" s="21">
        <f t="shared" ref="J14:J19" si="2">IF(B14="","",IF(H14&lt;F14,H14,F14))</f>
        <v>0</v>
      </c>
      <c r="K14" s="7" t="str">
        <f>IF(SF=8,IF(I14&lt;G14,I14,G14),"")</f>
        <v/>
      </c>
      <c r="L14" s="22">
        <f>IF(SF=2,SatzHS,IF(SF=3,SatzObS,IF(SF=4,SatzGes,IF(OR(SF=5,SF=6,SF=7),SatzGym,IF(SF=8,SatzFöS,"")))))</f>
        <v>3449.3069052013834</v>
      </c>
      <c r="M14" s="22" t="str">
        <f>IF(SF=8,SatzPM,"")</f>
        <v/>
      </c>
      <c r="N14" s="46">
        <f t="shared" si="0"/>
        <v>0</v>
      </c>
    </row>
    <row r="15" spans="1:17" s="17" customFormat="1" ht="19.899999999999999" customHeight="1" x14ac:dyDescent="0.25">
      <c r="A15" s="38" t="s">
        <v>20</v>
      </c>
      <c r="B15" s="18" t="str">
        <f>IF(OR(SF=4,SF=6,SF=7),"Sek II",IF(SF=2,"Realschule",IF(SF=8,"FöS GE","")))</f>
        <v>Realschule</v>
      </c>
      <c r="C15" s="41"/>
      <c r="D15" s="45"/>
      <c r="E15" s="45"/>
      <c r="F15" s="20">
        <f t="shared" si="1"/>
        <v>0</v>
      </c>
      <c r="G15" s="20" t="str">
        <f>IF(SF=8,IF(C15&gt;0,E15/C15,0),"")</f>
        <v/>
      </c>
      <c r="H15" s="7">
        <f>IF(OR(SF=6,SF=7),LGymSekII,IF(SF=2,LRS,IF(SF=4,LGesSSekII,IF(SF=8,LGE,""))))</f>
        <v>1.38</v>
      </c>
      <c r="I15" s="7" t="str">
        <f>IF(SF=8,PMGE,"")</f>
        <v/>
      </c>
      <c r="J15" s="21">
        <f t="shared" si="2"/>
        <v>0</v>
      </c>
      <c r="K15" s="7" t="str">
        <f>IF(SF=8,IF(I15&lt;G15,I15,G15),"")</f>
        <v/>
      </c>
      <c r="L15" s="22">
        <f>IF(OR(SF=6,SF=7),SatzGym,IF(SF=2,SatzRS,IF(SF=4,SatzGes,IF(SF=8,SatzFöS,""))))</f>
        <v>3579.4694299259631</v>
      </c>
      <c r="M15" s="22" t="str">
        <f>IF(SF=8,SatzPM,"")</f>
        <v/>
      </c>
      <c r="N15" s="46">
        <f t="shared" si="0"/>
        <v>0</v>
      </c>
    </row>
    <row r="16" spans="1:17" s="17" customFormat="1" ht="19.899999999999999" hidden="1" customHeight="1" x14ac:dyDescent="0.25">
      <c r="A16" s="38" t="s">
        <v>21</v>
      </c>
      <c r="B16" s="18" t="str">
        <f>IF(SF=7,"FöS LE",IF(SF=8,"FöS KME",""))</f>
        <v/>
      </c>
      <c r="C16" s="41"/>
      <c r="D16" s="45"/>
      <c r="E16" s="45"/>
      <c r="F16" s="20" t="str">
        <f t="shared" si="1"/>
        <v/>
      </c>
      <c r="G16" s="20" t="str">
        <f>IF(OR(SF=7,SF=8),IF(C16&gt;0,E16/C16,0),"")</f>
        <v/>
      </c>
      <c r="H16" s="7" t="str">
        <f>IF(SF=7,LLE,IF(SF=8,LKME,""))</f>
        <v/>
      </c>
      <c r="I16" s="7" t="str">
        <f>IF(SF=8,PMKME,"")</f>
        <v/>
      </c>
      <c r="J16" s="21" t="str">
        <f t="shared" si="2"/>
        <v/>
      </c>
      <c r="K16" s="7" t="str">
        <f>IF(SF=8,IF(I16&lt;G16,I16,G16),"")</f>
        <v/>
      </c>
      <c r="L16" s="22" t="str">
        <f>IF(OR(SF=7,SF=8),SatzFöS,"")</f>
        <v/>
      </c>
      <c r="M16" s="22" t="str">
        <f>IF(SF=8,SatzPM,"")</f>
        <v/>
      </c>
      <c r="N16" s="46" t="str">
        <f>IF(B16="","",IF(AND(C16&gt;0,K16&lt;&gt;""),L16*J16*C16+M16*K16*C16,IF(AND(C16&gt;0,K16=""),L16*J16*C16,0)))</f>
        <v/>
      </c>
    </row>
    <row r="17" spans="1:14" s="17" customFormat="1" ht="19.899999999999999" hidden="1" customHeight="1" x14ac:dyDescent="0.25">
      <c r="A17" s="38" t="s">
        <v>22</v>
      </c>
      <c r="B17" s="18" t="str">
        <f>IF(SF=7,"FöS ESE",IF(SF=8,"FöS SP",""))</f>
        <v/>
      </c>
      <c r="C17" s="41"/>
      <c r="D17" s="45"/>
      <c r="E17" s="45"/>
      <c r="F17" s="20" t="str">
        <f t="shared" si="1"/>
        <v/>
      </c>
      <c r="G17" s="20" t="str">
        <f>IF(OR(SF=7,SF=8),IF(C17&gt;0,E17/C17,0),"")</f>
        <v/>
      </c>
      <c r="H17" s="7" t="str">
        <f>IF(SF=7,LESE,IF(SF=8,LSP,""))</f>
        <v/>
      </c>
      <c r="I17" s="7" t="str">
        <f>IF(SF=7,PMESE,"")</f>
        <v/>
      </c>
      <c r="J17" s="21" t="str">
        <f t="shared" si="2"/>
        <v/>
      </c>
      <c r="K17" s="7" t="str">
        <f>IF(SF=7,IF(I17&lt;G17,I17,G17),"")</f>
        <v/>
      </c>
      <c r="L17" s="22" t="str">
        <f>IF(OR(SF=7,SF=8),SatzFöS,"")</f>
        <v/>
      </c>
      <c r="M17" s="22" t="str">
        <f>IF(SF=7,SatzPM,"")</f>
        <v/>
      </c>
      <c r="N17" s="46" t="str">
        <f t="shared" ref="N17:N19" si="3">IF(B17="","",IF(AND(C17&gt;0,K17&lt;&gt;""),L17*J17*C17+M17*K17*C17,IF(AND(C17&gt;0,K17=""),L17*J17*C17,0)))</f>
        <v/>
      </c>
    </row>
    <row r="18" spans="1:14" s="17" customFormat="1" ht="19.899999999999999" hidden="1" customHeight="1" x14ac:dyDescent="0.25">
      <c r="A18" s="38" t="s">
        <v>23</v>
      </c>
      <c r="B18" s="18" t="str">
        <f>IF(SF=7,"FöS GE",IF(SF=8,"FöS SE",""))</f>
        <v/>
      </c>
      <c r="C18" s="41"/>
      <c r="D18" s="45"/>
      <c r="E18" s="45"/>
      <c r="F18" s="20" t="str">
        <f t="shared" si="1"/>
        <v/>
      </c>
      <c r="G18" s="20" t="str">
        <f>IF(OR(SF=7,SF=8),IF(C18&gt;0,E18/C18,0),"")</f>
        <v/>
      </c>
      <c r="H18" s="7" t="str">
        <f>IF(SF=7,LGE,IF(SF=8,LSE,""))</f>
        <v/>
      </c>
      <c r="I18" s="7" t="str">
        <f>IF(SF=7,PMGE,IF(SF=8,PMSE,""))</f>
        <v/>
      </c>
      <c r="J18" s="21" t="str">
        <f t="shared" si="2"/>
        <v/>
      </c>
      <c r="K18" s="7" t="str">
        <f>IF(OR(SF=7,SF=8),IF(I18&lt;G18,I18,G18),"")</f>
        <v/>
      </c>
      <c r="L18" s="22" t="str">
        <f>IF(OR(SF=7,SF=8),SatzFöS,"")</f>
        <v/>
      </c>
      <c r="M18" s="22" t="str">
        <f>IF(OR(SF=7,SF=8),SatzPM,"")</f>
        <v/>
      </c>
      <c r="N18" s="46" t="str">
        <f t="shared" si="3"/>
        <v/>
      </c>
    </row>
    <row r="19" spans="1:14" s="17" customFormat="1" ht="19.899999999999999" hidden="1" customHeight="1" x14ac:dyDescent="0.25">
      <c r="A19" s="38" t="s">
        <v>24</v>
      </c>
      <c r="B19" s="18" t="str">
        <f>IF(SF=7,"FöS KME",IF(SF=8,"FöS HÖ",""))</f>
        <v/>
      </c>
      <c r="C19" s="41"/>
      <c r="D19" s="45"/>
      <c r="E19" s="45"/>
      <c r="F19" s="20" t="str">
        <f t="shared" si="1"/>
        <v/>
      </c>
      <c r="G19" s="20" t="str">
        <f>IF(OR(SF=7,SF=8),IF(C19&gt;0,E19/C19,0),"")</f>
        <v/>
      </c>
      <c r="H19" s="7" t="str">
        <f>IF(SF=7,LKME,IF(SF=8,LHÖ,""))</f>
        <v/>
      </c>
      <c r="I19" s="7" t="str">
        <f>IF(SF=7,PMKME,"")</f>
        <v/>
      </c>
      <c r="J19" s="21" t="str">
        <f t="shared" si="2"/>
        <v/>
      </c>
      <c r="K19" s="7" t="str">
        <f>IF(SF=7,IF(I19&lt;G19,I19,G19),"")</f>
        <v/>
      </c>
      <c r="L19" s="22" t="str">
        <f>IF(OR(SF=7,SF=8),SatzFöS,"")</f>
        <v/>
      </c>
      <c r="M19" s="22" t="str">
        <f>IF(SF=7,SatzPM,"")</f>
        <v/>
      </c>
      <c r="N19" s="46" t="str">
        <f t="shared" si="3"/>
        <v/>
      </c>
    </row>
    <row r="20" spans="1:14" ht="30" customHeight="1" x14ac:dyDescent="0.25">
      <c r="A20" s="39" t="str">
        <f>IF(OR(SF=2,SF=4,SF=6),"1.4",IF(OR(SF=3,SF=5),"1.3",IF(SF=1,"","1.8")))</f>
        <v>1.4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5" t="str">
        <f>IF(SF=1,"",IF(SF&lt;=6,"Zwischen-
ergebniss:",""))</f>
        <v>Zwischen-
ergebniss:</v>
      </c>
      <c r="M20" s="25" t="str">
        <f>IF(SF=1,"",IF(SF&gt;5,"Zwischen-
ergebnis:",""))</f>
        <v/>
      </c>
      <c r="N20" s="24">
        <f>IF(SF=1,"",SUM(N13:N19))</f>
        <v>0</v>
      </c>
    </row>
    <row r="21" spans="1:14" x14ac:dyDescent="0.25">
      <c r="A21" s="38"/>
      <c r="C21" s="18"/>
      <c r="D21" s="18"/>
      <c r="E21" s="18"/>
      <c r="F21" s="18"/>
      <c r="G21" s="18"/>
      <c r="H21" s="18"/>
      <c r="I21" s="18"/>
      <c r="J21" s="18"/>
      <c r="K21" s="18"/>
      <c r="L21" s="19"/>
      <c r="M21" s="19"/>
      <c r="N21" s="23"/>
    </row>
    <row r="22" spans="1:14" x14ac:dyDescent="0.25">
      <c r="A22" s="47" t="s">
        <v>80</v>
      </c>
      <c r="C22" s="18"/>
      <c r="D22" s="18"/>
      <c r="E22" s="18"/>
      <c r="F22" s="18"/>
      <c r="G22" s="18"/>
      <c r="H22" s="18"/>
      <c r="I22" s="18"/>
      <c r="J22" s="18"/>
      <c r="K22" s="18"/>
      <c r="L22" s="19"/>
      <c r="M22" s="19"/>
      <c r="N22" s="26"/>
    </row>
    <row r="23" spans="1:14" ht="54.75" customHeight="1" x14ac:dyDescent="0.25">
      <c r="B23" s="112" t="str">
        <f>IF(AND(ZV=1,rDB=1),"Sie leisten keine Zusatzversorgung und/oder Altersvorsorge für von der Rentenversicherung befreite Lehrkräfte!","")</f>
        <v>Sie leisten keine Zusatzversorgung und/oder Altersvorsorge für von der Rentenversicherung befreite Lehrkräfte!</v>
      </c>
      <c r="C23" s="112"/>
      <c r="D23" s="112"/>
      <c r="E23" s="112"/>
      <c r="F23" s="112"/>
      <c r="G23" s="112"/>
      <c r="H23" s="15" t="str">
        <f>IF(B23="","Betrag","")</f>
        <v/>
      </c>
      <c r="I23" s="15" t="str">
        <f>IF(SF&gt;6,(IF(B23="","Max. mögl. Erhöhungsbetrag § 3 Abs. 2 FinHVO","")),"")</f>
        <v/>
      </c>
      <c r="J23" s="15" t="str">
        <f>IF(SF&lt;=6,(IF(B23="","Max. möglicher Erhöhungsbetrag § 3 Abs. 2 FinHVO","")),"")</f>
        <v/>
      </c>
      <c r="K23" s="19"/>
      <c r="L23" s="19"/>
    </row>
    <row r="24" spans="1:14" ht="40.15" hidden="1" customHeight="1" x14ac:dyDescent="0.25">
      <c r="A24" s="38" t="s">
        <v>50</v>
      </c>
      <c r="B24" s="113" t="str">
        <f>IF(ZV=2,"Summe der Bruttogehälter aller Beschäfigten, für die die Erhöhungsbeträge nach § 3 Abs. 2 Nr. 1 FinHVO (Zusatzversorgung) beantragt werden, unabhängig von der Schulform","")</f>
        <v/>
      </c>
      <c r="C24" s="114"/>
      <c r="D24" s="114"/>
      <c r="E24" s="114"/>
      <c r="F24" s="114"/>
      <c r="G24" s="115"/>
      <c r="H24" s="42"/>
      <c r="I24" s="23" t="str">
        <f>IF(SF&gt;6,H24*6.9/100,"")</f>
        <v/>
      </c>
      <c r="J24" s="23">
        <f>IF(SF&lt;6,H24*6.9/100*0.8,"")</f>
        <v>0</v>
      </c>
      <c r="K24" s="19"/>
      <c r="L24" s="19"/>
    </row>
    <row r="25" spans="1:14" ht="40.15" hidden="1" customHeight="1" x14ac:dyDescent="0.25">
      <c r="A25" s="39" t="str">
        <f>IF(ZV_J_N="nein","2.1","2.2")</f>
        <v>2.1</v>
      </c>
      <c r="B25" s="113" t="str">
        <f>IF(rDB=2,"Summe der ruhegehaltsfähigen Dienstbezüge gem. § 3 Abs. 2 Nr. 2 FinHVO, unabhängig von der Schulform","")</f>
        <v/>
      </c>
      <c r="C25" s="114"/>
      <c r="D25" s="114"/>
      <c r="E25" s="114"/>
      <c r="F25" s="114"/>
      <c r="G25" s="115"/>
      <c r="H25" s="43"/>
      <c r="I25" s="23" t="str">
        <f>IF(SF&gt;6,H25*0.3,"")</f>
        <v/>
      </c>
      <c r="J25" s="23">
        <f>IF(SF&lt;=6,H25*0.3,"")</f>
        <v>0</v>
      </c>
    </row>
    <row r="26" spans="1:14" s="18" customFormat="1" ht="30" hidden="1" customHeight="1" x14ac:dyDescent="0.25">
      <c r="A26" s="40"/>
      <c r="B26" s="28"/>
      <c r="C26" s="28"/>
      <c r="D26" s="28"/>
      <c r="E26" s="28"/>
      <c r="F26" s="25" t="str">
        <f>IF(AND(ZV=1,rDB=1),"",IF(SF&lt;=6,"Zwischen-
ergebnis:",""))</f>
        <v/>
      </c>
      <c r="G26" s="25" t="str">
        <f>IF(AND(ZV=1,rDB=1),"",IF(SF&gt;6,"Zwischen-
ergebnis:",""))</f>
        <v/>
      </c>
      <c r="H26" s="29" t="str">
        <f>IF(AND(ZV=1,rDB=1),"",SUM(H24:H25))</f>
        <v/>
      </c>
      <c r="I26" s="30" t="str">
        <f>IF(AND(ZV=1,rDB=1),"",IF(SF&gt;6,SUM(I24:I25),""))</f>
        <v/>
      </c>
      <c r="J26" s="29" t="str">
        <f>IF(AND(ZV=1,rDB=1),"",IF(SF&lt;=6,SUM(J24:J25),""))</f>
        <v/>
      </c>
      <c r="N26" s="31"/>
    </row>
    <row r="27" spans="1:14" ht="15" customHeight="1" x14ac:dyDescent="0.25">
      <c r="A27" s="38"/>
    </row>
    <row r="28" spans="1:14" x14ac:dyDescent="0.25">
      <c r="A28" s="47" t="s">
        <v>73</v>
      </c>
    </row>
    <row r="29" spans="1:14" ht="19.899999999999999" customHeight="1" x14ac:dyDescent="0.25">
      <c r="A29" s="38" t="s">
        <v>25</v>
      </c>
      <c r="B29" s="116" t="s">
        <v>14</v>
      </c>
      <c r="C29" s="116"/>
      <c r="D29" s="27">
        <f>N20</f>
        <v>0</v>
      </c>
    </row>
    <row r="30" spans="1:14" ht="30" hidden="1" customHeight="1" x14ac:dyDescent="0.25">
      <c r="A30" s="39" t="str">
        <f>IF(SF=1,"3.1","3.2")</f>
        <v>3.2</v>
      </c>
      <c r="B30" s="116" t="s">
        <v>83</v>
      </c>
      <c r="C30" s="116"/>
      <c r="D30" s="27">
        <f>IF(SF&gt;6,I24,J24)</f>
        <v>0</v>
      </c>
    </row>
    <row r="31" spans="1:14" ht="30" hidden="1" customHeight="1" x14ac:dyDescent="0.25">
      <c r="A31" s="39" t="str">
        <f>IF(AND(SF=1,ZV=1),"3.1",IF(AND(SF=1,ZV=2),"3.2","3.3"))</f>
        <v>3.3</v>
      </c>
      <c r="B31" s="116" t="s">
        <v>84</v>
      </c>
      <c r="C31" s="116"/>
      <c r="D31" s="27">
        <f>IF(SF&gt;6,I25,J25)</f>
        <v>0</v>
      </c>
    </row>
    <row r="32" spans="1:14" ht="19.899999999999999" customHeight="1" x14ac:dyDescent="0.25">
      <c r="A32" s="39" t="str">
        <f>IF(AND(ZV_J_N="nein",rDB_J_N="nein"),"3.2",IF(AND(ZV_J_N="nein",rDB_J_N,"ja"),"3.3",IF(AND(ZV_J_N="ja",rDB_J_N,"nein"),"3.3","3.4")))</f>
        <v>3.2</v>
      </c>
      <c r="B32" s="111" t="s">
        <v>15</v>
      </c>
      <c r="C32" s="111"/>
      <c r="D32" s="32">
        <f>SUM(D29:D31)</f>
        <v>0</v>
      </c>
    </row>
    <row r="33" spans="2:14" ht="49.9" customHeight="1" x14ac:dyDescent="0.25">
      <c r="B33" s="33" t="str">
        <f>IF(SF&lt;&gt;1,"",IF(AND(SF=1,ZV&lt;&gt;1),"Es fehlt noch an der Auswanhl der Schulform um ein Ergebnis anzeigen zu konnen!",IF(AND(SF=1,rDB&lt;&gt;1),"Es fehlt noch an der Auswanhl der Schulform um ein Ergebnis anzeigen zu konnen!","Es gibt nichts zu berechnen und somit auch kein Ergebnis!")))</f>
        <v/>
      </c>
    </row>
    <row r="34" spans="2:14" x14ac:dyDescent="0.25">
      <c r="B34" s="34"/>
      <c r="N34" s="8"/>
    </row>
    <row r="36" spans="2:14" ht="50.25" customHeight="1" x14ac:dyDescent="0.25"/>
    <row r="38" spans="2:14" ht="68.25" customHeight="1" x14ac:dyDescent="0.25"/>
    <row r="50" ht="48.75" customHeight="1" x14ac:dyDescent="0.25"/>
    <row r="51" ht="63.75" customHeight="1" x14ac:dyDescent="0.25"/>
  </sheetData>
  <sheetProtection formatCells="0" formatColumns="0" formatRows="0" selectLockedCells="1"/>
  <protectedRanges>
    <protectedRange sqref="I26:J26 H25:H26" name="Bereich2"/>
  </protectedRanges>
  <mergeCells count="13">
    <mergeCell ref="B32:C32"/>
    <mergeCell ref="B23:G23"/>
    <mergeCell ref="B25:G25"/>
    <mergeCell ref="B24:G24"/>
    <mergeCell ref="B30:C30"/>
    <mergeCell ref="B29:C29"/>
    <mergeCell ref="B31:C31"/>
    <mergeCell ref="A1:N1"/>
    <mergeCell ref="A7:C7"/>
    <mergeCell ref="A9:C9"/>
    <mergeCell ref="A5:C5"/>
    <mergeCell ref="D5:F5"/>
    <mergeCell ref="A2:N3"/>
  </mergeCells>
  <phoneticPr fontId="2" type="noConversion"/>
  <conditionalFormatting sqref="H23">
    <cfRule type="expression" dxfId="18" priority="28">
      <formula>OR(ZV=2,rDB=2)</formula>
    </cfRule>
  </conditionalFormatting>
  <conditionalFormatting sqref="J23">
    <cfRule type="expression" dxfId="17" priority="27">
      <formula>AND(SF&lt;=6,OR(ZV=2,rDB=2))</formula>
    </cfRule>
  </conditionalFormatting>
  <conditionalFormatting sqref="B12:N12">
    <cfRule type="expression" dxfId="16" priority="26">
      <formula>SF&gt;1</formula>
    </cfRule>
  </conditionalFormatting>
  <conditionalFormatting sqref="B13:N14">
    <cfRule type="expression" dxfId="15" priority="25">
      <formula>SF&gt;1</formula>
    </cfRule>
  </conditionalFormatting>
  <conditionalFormatting sqref="B15:N15">
    <cfRule type="expression" dxfId="14" priority="24">
      <formula>OR(SF=2,SF=4,SF&gt;=6)</formula>
    </cfRule>
  </conditionalFormatting>
  <conditionalFormatting sqref="B16:N19">
    <cfRule type="expression" dxfId="13" priority="23">
      <formula>SF&gt;6</formula>
    </cfRule>
  </conditionalFormatting>
  <conditionalFormatting sqref="N20">
    <cfRule type="expression" dxfId="12" priority="22">
      <formula>SF&gt;1</formula>
    </cfRule>
  </conditionalFormatting>
  <conditionalFormatting sqref="I23">
    <cfRule type="expression" dxfId="11" priority="20">
      <formula>AND(ZV&gt;1,SF&gt;5)</formula>
    </cfRule>
  </conditionalFormatting>
  <conditionalFormatting sqref="L20">
    <cfRule type="expression" dxfId="10" priority="15">
      <formula>AND(SF&lt;=6,SF&gt;1)</formula>
    </cfRule>
  </conditionalFormatting>
  <conditionalFormatting sqref="M20">
    <cfRule type="expression" dxfId="9" priority="14">
      <formula>SF&gt;5</formula>
    </cfRule>
  </conditionalFormatting>
  <conditionalFormatting sqref="H26">
    <cfRule type="expression" dxfId="8" priority="11">
      <formula>OR(ZV=2,rDB=2)</formula>
    </cfRule>
  </conditionalFormatting>
  <conditionalFormatting sqref="J26">
    <cfRule type="expression" dxfId="7" priority="9">
      <formula>AND(SF&lt;=6,OR(ZV=2,rDB=2))</formula>
    </cfRule>
  </conditionalFormatting>
  <conditionalFormatting sqref="G26">
    <cfRule type="expression" dxfId="6" priority="8">
      <formula>OR(ZV=2,rDB=2)</formula>
    </cfRule>
  </conditionalFormatting>
  <conditionalFormatting sqref="F26">
    <cfRule type="expression" dxfId="5" priority="6">
      <formula>AND(SF&lt;=6,OR(ZV=2,rDB=2))</formula>
    </cfRule>
  </conditionalFormatting>
  <conditionalFormatting sqref="I26">
    <cfRule type="expression" dxfId="4" priority="5">
      <formula>AND(SF&gt;6,OR(ZV=2,rDB=2))</formula>
    </cfRule>
  </conditionalFormatting>
  <conditionalFormatting sqref="I24">
    <cfRule type="expression" dxfId="3" priority="4">
      <formula>AND(ZV&gt;1,SF&gt;5)</formula>
    </cfRule>
  </conditionalFormatting>
  <conditionalFormatting sqref="I25">
    <cfRule type="expression" dxfId="2" priority="3">
      <formula>AND(rDB&gt;1,SF&gt;5)</formula>
    </cfRule>
  </conditionalFormatting>
  <conditionalFormatting sqref="J24">
    <cfRule type="expression" dxfId="1" priority="2">
      <formula>AND(ZV=2,SF&lt;=6)</formula>
    </cfRule>
  </conditionalFormatting>
  <conditionalFormatting sqref="J25">
    <cfRule type="expression" dxfId="0" priority="1">
      <formula>AND(rDB=2,SF&lt;=6)</formula>
    </cfRule>
  </conditionalFormatting>
  <dataValidations count="1">
    <dataValidation type="whole" allowBlank="1" showInputMessage="1" showErrorMessage="1" errorTitle="Schülerzahl" error="Es können nur ganze Zahlen erfasst werden!" sqref="C13:C19" xr:uid="{BAB04A4F-0531-4FFF-A35C-7B771CCA570B}">
      <formula1>1</formula1>
      <formula2>10000</formula2>
    </dataValidation>
  </dataValidations>
  <pageMargins left="0.7" right="0.7" top="0.78740157499999996" bottom="0.78740157499999996" header="0.3" footer="0.3"/>
  <pageSetup paperSize="9" scale="22" fitToHeight="0" orientation="landscape" r:id="rId1"/>
  <rowBreaks count="1" manualBreakCount="1">
    <brk id="21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chulformauswahl" xr:uid="{DA7B85A1-6571-41B5-A887-6AD43DE194F8}">
          <x14:formula1>
            <xm:f>Daten!$B$5:$B$12</xm:f>
          </x14:formula1>
          <xm:sqref>D5</xm:sqref>
        </x14:dataValidation>
        <x14:dataValidation type="list" allowBlank="1" showInputMessage="1" showErrorMessage="1" xr:uid="{390AF19A-107A-48DF-B1A2-C78263AB8B9F}">
          <x14:formula1>
            <xm:f>Daten!$B$16:$B$17</xm:f>
          </x14:formula1>
          <xm:sqref>D7</xm:sqref>
        </x14:dataValidation>
        <x14:dataValidation type="list" allowBlank="1" showInputMessage="1" showErrorMessage="1" xr:uid="{D6663090-4DD9-40B3-B8F1-1A91F774F13B}">
          <x14:formula1>
            <xm:f>Daten!$B$21:$B$22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C70-A62D-44A8-8041-63BCEADAB952}">
  <sheetPr codeName="Tabelle2">
    <pageSetUpPr fitToPage="1"/>
  </sheetPr>
  <dimension ref="A1:Q45"/>
  <sheetViews>
    <sheetView zoomScaleNormal="100" workbookViewId="0">
      <selection activeCell="K25" sqref="K25"/>
    </sheetView>
  </sheetViews>
  <sheetFormatPr baseColWidth="10" defaultColWidth="11.42578125" defaultRowHeight="15" x14ac:dyDescent="0.25"/>
  <cols>
    <col min="1" max="1" width="11.42578125" style="85" customWidth="1"/>
    <col min="2" max="2" width="22.85546875" style="83" customWidth="1"/>
    <col min="3" max="3" width="13.7109375" style="83" hidden="1" customWidth="1"/>
    <col min="4" max="9" width="0" style="83" hidden="1" customWidth="1"/>
    <col min="10" max="10" width="13.28515625" style="83" hidden="1" customWidth="1"/>
    <col min="11" max="11" width="13.28515625" style="83" customWidth="1"/>
    <col min="12" max="12" width="0" style="83" hidden="1" customWidth="1"/>
    <col min="13" max="13" width="13.5703125" style="83" hidden="1" customWidth="1"/>
    <col min="14" max="14" width="16.7109375" style="83" hidden="1" customWidth="1"/>
    <col min="15" max="15" width="0" style="83" hidden="1" customWidth="1"/>
    <col min="16" max="16" width="12.5703125" style="83" hidden="1" customWidth="1"/>
    <col min="17" max="16384" width="11.42578125" style="83"/>
  </cols>
  <sheetData>
    <row r="1" spans="1:16" ht="15.75" x14ac:dyDescent="0.25">
      <c r="A1" s="84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34.5" customHeight="1" x14ac:dyDescent="0.25">
      <c r="A2" s="99" t="s">
        <v>81</v>
      </c>
      <c r="B2" s="100" t="s">
        <v>51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ht="15.75" thickBot="1" x14ac:dyDescent="0.3">
      <c r="A3" s="98"/>
      <c r="B3" s="106"/>
      <c r="C3" s="81"/>
      <c r="D3" s="81"/>
      <c r="E3" s="81"/>
      <c r="F3" s="81"/>
      <c r="G3" s="81"/>
      <c r="H3" s="81"/>
      <c r="I3" s="81"/>
      <c r="J3" s="81"/>
      <c r="K3" s="81"/>
      <c r="L3" s="81"/>
      <c r="M3" s="100" t="s">
        <v>26</v>
      </c>
      <c r="N3" s="81"/>
      <c r="O3" s="81"/>
      <c r="P3" s="81"/>
    </row>
    <row r="4" spans="1:16" ht="75.75" customHeight="1" x14ac:dyDescent="0.25">
      <c r="A4" s="98"/>
      <c r="B4" s="68" t="s">
        <v>17</v>
      </c>
      <c r="C4" s="56" t="s">
        <v>27</v>
      </c>
      <c r="D4" s="56" t="s">
        <v>28</v>
      </c>
      <c r="E4" s="56" t="s">
        <v>29</v>
      </c>
      <c r="F4" s="56" t="s">
        <v>30</v>
      </c>
      <c r="G4" s="56" t="s">
        <v>31</v>
      </c>
      <c r="H4" s="56" t="s">
        <v>32</v>
      </c>
      <c r="I4" s="56" t="s">
        <v>33</v>
      </c>
      <c r="J4" s="56" t="s">
        <v>56</v>
      </c>
      <c r="K4" s="57" t="s">
        <v>57</v>
      </c>
      <c r="L4" s="81"/>
      <c r="M4" s="91" t="s">
        <v>27</v>
      </c>
      <c r="N4" s="92" t="s">
        <v>34</v>
      </c>
      <c r="O4" s="92" t="s">
        <v>35</v>
      </c>
      <c r="P4" s="93" t="s">
        <v>36</v>
      </c>
    </row>
    <row r="5" spans="1:16" ht="30" customHeight="1" x14ac:dyDescent="0.25">
      <c r="A5" s="98"/>
      <c r="B5" s="69" t="s">
        <v>0</v>
      </c>
      <c r="C5" s="62" t="s">
        <v>37</v>
      </c>
      <c r="D5" s="49">
        <f t="shared" ref="D5:D14" si="0">P5</f>
        <v>86323.139279999989</v>
      </c>
      <c r="E5" s="48">
        <v>1.1000000000000001</v>
      </c>
      <c r="F5" s="62">
        <v>28</v>
      </c>
      <c r="G5" s="48">
        <v>1.08</v>
      </c>
      <c r="H5" s="117">
        <v>1.167</v>
      </c>
      <c r="I5" s="117">
        <v>0.8</v>
      </c>
      <c r="J5" s="50">
        <f t="shared" ref="J5:J14" si="1">(D5*E5/F5)*G5*H$5*I$5</f>
        <v>3419.3730001495678</v>
      </c>
      <c r="K5" s="70">
        <f t="shared" ref="K5:K14" si="2">J5</f>
        <v>3419.3730001495678</v>
      </c>
      <c r="L5" s="81"/>
      <c r="M5" s="102" t="s">
        <v>37</v>
      </c>
      <c r="N5" s="103">
        <v>91985</v>
      </c>
      <c r="O5" s="103">
        <f t="shared" ref="O5:O14" si="3">N5*(100-6.9)/100</f>
        <v>85638.035000000003</v>
      </c>
      <c r="P5" s="104">
        <f t="shared" ref="P5:P14" si="4">O5*(100+0.8)/100</f>
        <v>86323.139279999989</v>
      </c>
    </row>
    <row r="6" spans="1:16" ht="30" customHeight="1" x14ac:dyDescent="0.25">
      <c r="A6" s="98"/>
      <c r="B6" s="69" t="s">
        <v>9</v>
      </c>
      <c r="C6" s="62" t="s">
        <v>37</v>
      </c>
      <c r="D6" s="49">
        <f t="shared" si="0"/>
        <v>86323.139279999989</v>
      </c>
      <c r="E6" s="48">
        <v>1.1000000000000001</v>
      </c>
      <c r="F6" s="62">
        <v>27.5</v>
      </c>
      <c r="G6" s="48">
        <v>1.07</v>
      </c>
      <c r="H6" s="117"/>
      <c r="I6" s="117"/>
      <c r="J6" s="50">
        <f t="shared" si="1"/>
        <v>3449.3069052013834</v>
      </c>
      <c r="K6" s="70">
        <f t="shared" si="2"/>
        <v>3449.3069052013834</v>
      </c>
      <c r="L6" s="81"/>
      <c r="M6" s="102" t="s">
        <v>37</v>
      </c>
      <c r="N6" s="103">
        <v>91985</v>
      </c>
      <c r="O6" s="103">
        <f t="shared" si="3"/>
        <v>85638.035000000003</v>
      </c>
      <c r="P6" s="104">
        <f t="shared" si="4"/>
        <v>86323.139279999989</v>
      </c>
    </row>
    <row r="7" spans="1:16" ht="30" customHeight="1" x14ac:dyDescent="0.25">
      <c r="A7" s="98"/>
      <c r="B7" s="69" t="s">
        <v>10</v>
      </c>
      <c r="C7" s="63" t="s">
        <v>37</v>
      </c>
      <c r="D7" s="49">
        <f t="shared" si="0"/>
        <v>86323.139279999989</v>
      </c>
      <c r="E7" s="48">
        <v>1.1000000000000001</v>
      </c>
      <c r="F7" s="62">
        <v>26.5</v>
      </c>
      <c r="G7" s="48">
        <v>1.07</v>
      </c>
      <c r="H7" s="117"/>
      <c r="I7" s="117"/>
      <c r="J7" s="50">
        <f t="shared" si="1"/>
        <v>3579.4694299259631</v>
      </c>
      <c r="K7" s="70">
        <f t="shared" si="2"/>
        <v>3579.4694299259631</v>
      </c>
      <c r="L7" s="81"/>
      <c r="M7" s="102" t="s">
        <v>37</v>
      </c>
      <c r="N7" s="103">
        <v>91985</v>
      </c>
      <c r="O7" s="103">
        <f t="shared" si="3"/>
        <v>85638.035000000003</v>
      </c>
      <c r="P7" s="104">
        <f t="shared" si="4"/>
        <v>86323.139279999989</v>
      </c>
    </row>
    <row r="8" spans="1:16" ht="30" customHeight="1" x14ac:dyDescent="0.25">
      <c r="A8" s="98"/>
      <c r="B8" s="69" t="s">
        <v>11</v>
      </c>
      <c r="C8" s="63" t="s">
        <v>37</v>
      </c>
      <c r="D8" s="49">
        <f t="shared" si="0"/>
        <v>86323.139279999989</v>
      </c>
      <c r="E8" s="48">
        <v>1.1000000000000001</v>
      </c>
      <c r="F8" s="62">
        <v>25.5</v>
      </c>
      <c r="G8" s="48">
        <v>1.07</v>
      </c>
      <c r="H8" s="117"/>
      <c r="I8" s="117"/>
      <c r="J8" s="50">
        <f t="shared" si="1"/>
        <v>3719.8407801191383</v>
      </c>
      <c r="K8" s="70">
        <f t="shared" si="2"/>
        <v>3719.8407801191383</v>
      </c>
      <c r="L8" s="81"/>
      <c r="M8" s="102" t="s">
        <v>37</v>
      </c>
      <c r="N8" s="103">
        <v>91985</v>
      </c>
      <c r="O8" s="103">
        <f t="shared" si="3"/>
        <v>85638.035000000003</v>
      </c>
      <c r="P8" s="104">
        <f t="shared" si="4"/>
        <v>86323.139279999989</v>
      </c>
    </row>
    <row r="9" spans="1:16" ht="30" customHeight="1" x14ac:dyDescent="0.25">
      <c r="A9" s="98"/>
      <c r="B9" s="69" t="s">
        <v>38</v>
      </c>
      <c r="C9" s="63" t="s">
        <v>37</v>
      </c>
      <c r="D9" s="49">
        <f t="shared" si="0"/>
        <v>86323.139279999989</v>
      </c>
      <c r="E9" s="48">
        <v>1.1499999999999999</v>
      </c>
      <c r="F9" s="62">
        <v>24.5</v>
      </c>
      <c r="G9" s="48">
        <v>1.08</v>
      </c>
      <c r="H9" s="117"/>
      <c r="I9" s="117"/>
      <c r="J9" s="50">
        <f t="shared" si="1"/>
        <v>4085.4846235553277</v>
      </c>
      <c r="K9" s="70">
        <f t="shared" si="2"/>
        <v>4085.4846235553277</v>
      </c>
      <c r="L9" s="81"/>
      <c r="M9" s="102" t="s">
        <v>37</v>
      </c>
      <c r="N9" s="103">
        <v>91985</v>
      </c>
      <c r="O9" s="103">
        <f t="shared" si="3"/>
        <v>85638.035000000003</v>
      </c>
      <c r="P9" s="104">
        <f t="shared" si="4"/>
        <v>86323.139279999989</v>
      </c>
    </row>
    <row r="10" spans="1:16" ht="30" customHeight="1" x14ac:dyDescent="0.25">
      <c r="A10" s="98"/>
      <c r="B10" s="69" t="s">
        <v>39</v>
      </c>
      <c r="C10" s="63" t="s">
        <v>37</v>
      </c>
      <c r="D10" s="49">
        <f t="shared" si="0"/>
        <v>86323.139279999989</v>
      </c>
      <c r="E10" s="48">
        <v>1.1499999999999999</v>
      </c>
      <c r="F10" s="62">
        <v>23.5</v>
      </c>
      <c r="G10" s="48">
        <v>1.07</v>
      </c>
      <c r="H10" s="117"/>
      <c r="I10" s="117"/>
      <c r="J10" s="50">
        <f t="shared" si="1"/>
        <v>4219.8967457250956</v>
      </c>
      <c r="K10" s="70">
        <f t="shared" si="2"/>
        <v>4219.8967457250956</v>
      </c>
      <c r="L10" s="81"/>
      <c r="M10" s="102" t="s">
        <v>37</v>
      </c>
      <c r="N10" s="103">
        <v>91985</v>
      </c>
      <c r="O10" s="103">
        <f t="shared" si="3"/>
        <v>85638.035000000003</v>
      </c>
      <c r="P10" s="104">
        <f t="shared" si="4"/>
        <v>86323.139279999989</v>
      </c>
    </row>
    <row r="11" spans="1:16" ht="30" customHeight="1" x14ac:dyDescent="0.25">
      <c r="A11" s="98"/>
      <c r="B11" s="69" t="s">
        <v>40</v>
      </c>
      <c r="C11" s="63" t="s">
        <v>37</v>
      </c>
      <c r="D11" s="49">
        <f t="shared" si="0"/>
        <v>86323.139279999989</v>
      </c>
      <c r="E11" s="48">
        <v>1.0900000000000001</v>
      </c>
      <c r="F11" s="62">
        <v>26.5</v>
      </c>
      <c r="G11" s="48">
        <v>1.06</v>
      </c>
      <c r="H11" s="117"/>
      <c r="I11" s="117"/>
      <c r="J11" s="50">
        <f t="shared" si="1"/>
        <v>3513.7799314668296</v>
      </c>
      <c r="K11" s="70">
        <f t="shared" si="2"/>
        <v>3513.7799314668296</v>
      </c>
      <c r="L11" s="81"/>
      <c r="M11" s="102" t="s">
        <v>37</v>
      </c>
      <c r="N11" s="103">
        <v>91985</v>
      </c>
      <c r="O11" s="103">
        <f t="shared" si="3"/>
        <v>85638.035000000003</v>
      </c>
      <c r="P11" s="104">
        <f t="shared" si="4"/>
        <v>86323.139279999989</v>
      </c>
    </row>
    <row r="12" spans="1:16" ht="60" hidden="1" customHeight="1" x14ac:dyDescent="0.25">
      <c r="A12" s="98"/>
      <c r="B12" s="71" t="s">
        <v>41</v>
      </c>
      <c r="C12" s="64" t="s">
        <v>37</v>
      </c>
      <c r="D12" s="65">
        <f t="shared" si="0"/>
        <v>86323.139279999989</v>
      </c>
      <c r="E12" s="66">
        <v>1.1100000000000001</v>
      </c>
      <c r="F12" s="64">
        <v>24.5</v>
      </c>
      <c r="G12" s="66">
        <v>1.07</v>
      </c>
      <c r="H12" s="117"/>
      <c r="I12" s="117"/>
      <c r="J12" s="67">
        <f t="shared" si="1"/>
        <v>3906.8680252791173</v>
      </c>
      <c r="K12" s="72">
        <f t="shared" si="2"/>
        <v>3906.8680252791173</v>
      </c>
      <c r="L12" s="81"/>
      <c r="M12" s="102" t="s">
        <v>37</v>
      </c>
      <c r="N12" s="103">
        <v>91985</v>
      </c>
      <c r="O12" s="103">
        <f t="shared" si="3"/>
        <v>85638.035000000003</v>
      </c>
      <c r="P12" s="104">
        <f t="shared" si="4"/>
        <v>86323.139279999989</v>
      </c>
    </row>
    <row r="13" spans="1:16" ht="45" hidden="1" customHeight="1" x14ac:dyDescent="0.25">
      <c r="A13" s="98"/>
      <c r="B13" s="71" t="s">
        <v>42</v>
      </c>
      <c r="C13" s="64" t="s">
        <v>43</v>
      </c>
      <c r="D13" s="65">
        <f t="shared" si="0"/>
        <v>75595.740191999997</v>
      </c>
      <c r="E13" s="66">
        <v>1.1100000000000001</v>
      </c>
      <c r="F13" s="64">
        <v>25.5</v>
      </c>
      <c r="G13" s="66">
        <v>1.07</v>
      </c>
      <c r="H13" s="117"/>
      <c r="I13" s="117"/>
      <c r="J13" s="67">
        <f t="shared" si="1"/>
        <v>3287.1895137439005</v>
      </c>
      <c r="K13" s="72">
        <f t="shared" si="2"/>
        <v>3287.1895137439005</v>
      </c>
      <c r="L13" s="105">
        <f>AVERAGE(K12:K14)</f>
        <v>3282.2016125829487</v>
      </c>
      <c r="M13" s="102" t="s">
        <v>43</v>
      </c>
      <c r="N13" s="103">
        <v>80554</v>
      </c>
      <c r="O13" s="103">
        <f t="shared" si="3"/>
        <v>74995.77399999999</v>
      </c>
      <c r="P13" s="104">
        <f t="shared" si="4"/>
        <v>75595.740191999997</v>
      </c>
    </row>
    <row r="14" spans="1:16" ht="75.75" hidden="1" customHeight="1" thickBot="1" x14ac:dyDescent="0.3">
      <c r="A14" s="98"/>
      <c r="B14" s="73" t="s">
        <v>44</v>
      </c>
      <c r="C14" s="74" t="s">
        <v>45</v>
      </c>
      <c r="D14" s="75">
        <f t="shared" si="0"/>
        <v>65785.204799999992</v>
      </c>
      <c r="E14" s="76">
        <v>1.1100000000000001</v>
      </c>
      <c r="F14" s="74">
        <v>27.5</v>
      </c>
      <c r="G14" s="76">
        <v>1.07</v>
      </c>
      <c r="H14" s="118"/>
      <c r="I14" s="118"/>
      <c r="J14" s="77">
        <f t="shared" si="1"/>
        <v>2652.5472987258277</v>
      </c>
      <c r="K14" s="78">
        <f t="shared" si="2"/>
        <v>2652.5472987258277</v>
      </c>
      <c r="L14" s="81"/>
      <c r="M14" s="94" t="s">
        <v>45</v>
      </c>
      <c r="N14" s="96">
        <v>70100</v>
      </c>
      <c r="O14" s="96">
        <f t="shared" si="3"/>
        <v>65263.1</v>
      </c>
      <c r="P14" s="97">
        <f t="shared" si="4"/>
        <v>65785.204799999992</v>
      </c>
    </row>
    <row r="15" spans="1:16" x14ac:dyDescent="0.25">
      <c r="A15" s="9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ht="34.5" customHeight="1" x14ac:dyDescent="0.25">
      <c r="A16" s="99" t="s">
        <v>82</v>
      </c>
      <c r="B16" s="100" t="s">
        <v>52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100" t="s">
        <v>46</v>
      </c>
      <c r="N16" s="81"/>
      <c r="O16" s="81"/>
      <c r="P16" s="81"/>
    </row>
    <row r="17" spans="1:17" ht="15.75" thickBot="1" x14ac:dyDescent="0.3">
      <c r="A17" s="101"/>
      <c r="B17" s="10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100"/>
      <c r="N17" s="81"/>
      <c r="O17" s="81"/>
      <c r="P17" s="81"/>
    </row>
    <row r="18" spans="1:17" ht="60" x14ac:dyDescent="0.25">
      <c r="A18" s="80"/>
      <c r="B18" s="119" t="s">
        <v>88</v>
      </c>
      <c r="C18" s="56" t="s">
        <v>27</v>
      </c>
      <c r="D18" s="52" t="s">
        <v>28</v>
      </c>
      <c r="E18"/>
      <c r="F18" s="54" t="s">
        <v>47</v>
      </c>
      <c r="G18"/>
      <c r="H18" s="51" t="s">
        <v>32</v>
      </c>
      <c r="I18" s="56" t="s">
        <v>33</v>
      </c>
      <c r="J18" s="56" t="s">
        <v>56</v>
      </c>
      <c r="K18" s="57" t="s">
        <v>57</v>
      </c>
      <c r="L18" s="81"/>
      <c r="M18" s="91" t="s">
        <v>27</v>
      </c>
      <c r="N18" s="92" t="s">
        <v>34</v>
      </c>
      <c r="O18" s="92" t="s">
        <v>35</v>
      </c>
      <c r="P18" s="93" t="s">
        <v>36</v>
      </c>
    </row>
    <row r="19" spans="1:17" ht="15.75" thickBot="1" x14ac:dyDescent="0.3">
      <c r="A19" s="80"/>
      <c r="B19" s="120"/>
      <c r="C19" s="79" t="s">
        <v>48</v>
      </c>
      <c r="D19" s="53">
        <f>P19</f>
        <v>63495.391679999993</v>
      </c>
      <c r="E19"/>
      <c r="F19" s="55">
        <v>39</v>
      </c>
      <c r="G19"/>
      <c r="H19" s="58">
        <v>1.167</v>
      </c>
      <c r="I19" s="59">
        <v>0.8</v>
      </c>
      <c r="J19" s="60">
        <f>D19/F19*H19*I19</f>
        <v>1519.9819916012307</v>
      </c>
      <c r="K19" s="61">
        <f>J19</f>
        <v>1519.9819916012307</v>
      </c>
      <c r="L19" s="81"/>
      <c r="M19" s="94" t="s">
        <v>48</v>
      </c>
      <c r="N19" s="95">
        <v>67660</v>
      </c>
      <c r="O19" s="96">
        <f>N19*(100-6.9)/100</f>
        <v>62991.46</v>
      </c>
      <c r="P19" s="97">
        <f>O19*(100+0.8)/100</f>
        <v>63495.391679999993</v>
      </c>
    </row>
    <row r="20" spans="1:17" x14ac:dyDescent="0.25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  <c r="O20" s="81"/>
      <c r="P20" s="81"/>
    </row>
    <row r="22" spans="1:17" ht="15.75" x14ac:dyDescent="0.25">
      <c r="A22" s="84" t="s">
        <v>75</v>
      </c>
    </row>
    <row r="24" spans="1:17" ht="30" x14ac:dyDescent="0.25">
      <c r="K24" s="86" t="s">
        <v>71</v>
      </c>
      <c r="Q24" s="86" t="s">
        <v>72</v>
      </c>
    </row>
    <row r="25" spans="1:17" x14ac:dyDescent="0.25">
      <c r="A25" s="80"/>
      <c r="B25" s="87" t="s">
        <v>0</v>
      </c>
      <c r="F25" s="81"/>
      <c r="G25" s="81"/>
      <c r="H25" s="81"/>
      <c r="I25" s="81"/>
      <c r="J25" s="81"/>
      <c r="K25" s="88">
        <v>1.51</v>
      </c>
      <c r="L25" s="81"/>
      <c r="M25" s="81"/>
      <c r="N25" s="82"/>
      <c r="O25" s="81"/>
      <c r="P25" s="81"/>
      <c r="Q25" s="89" t="s">
        <v>70</v>
      </c>
    </row>
    <row r="26" spans="1:17" x14ac:dyDescent="0.25">
      <c r="B26" s="87" t="s">
        <v>9</v>
      </c>
      <c r="K26" s="88">
        <v>2.16</v>
      </c>
      <c r="Q26" s="89" t="s">
        <v>70</v>
      </c>
    </row>
    <row r="27" spans="1:17" x14ac:dyDescent="0.25">
      <c r="B27" s="87" t="s">
        <v>10</v>
      </c>
      <c r="K27" s="88">
        <v>1.38</v>
      </c>
      <c r="Q27" s="89" t="s">
        <v>70</v>
      </c>
    </row>
    <row r="28" spans="1:17" x14ac:dyDescent="0.25">
      <c r="B28" s="87" t="s">
        <v>11</v>
      </c>
      <c r="K28" s="88">
        <v>1.81</v>
      </c>
      <c r="Q28" s="89" t="s">
        <v>70</v>
      </c>
    </row>
    <row r="29" spans="1:17" x14ac:dyDescent="0.25">
      <c r="B29" s="87" t="s">
        <v>1</v>
      </c>
      <c r="K29" s="88">
        <v>1.36</v>
      </c>
      <c r="Q29" s="89" t="s">
        <v>70</v>
      </c>
    </row>
    <row r="30" spans="1:17" x14ac:dyDescent="0.25">
      <c r="B30" s="87" t="s">
        <v>16</v>
      </c>
      <c r="K30" s="88">
        <v>1.8</v>
      </c>
      <c r="Q30" s="89" t="s">
        <v>70</v>
      </c>
    </row>
    <row r="31" spans="1:17" x14ac:dyDescent="0.25">
      <c r="B31" s="87" t="s">
        <v>12</v>
      </c>
      <c r="K31" s="88">
        <v>1.36</v>
      </c>
      <c r="Q31" s="89" t="s">
        <v>70</v>
      </c>
    </row>
    <row r="32" spans="1:17" x14ac:dyDescent="0.25">
      <c r="B32" s="87" t="s">
        <v>13</v>
      </c>
      <c r="K32" s="88">
        <v>1.8</v>
      </c>
      <c r="Q32" s="89" t="s">
        <v>70</v>
      </c>
    </row>
    <row r="33" spans="1:17" x14ac:dyDescent="0.25">
      <c r="B33" s="87" t="s">
        <v>2</v>
      </c>
      <c r="K33" s="88">
        <v>2.89</v>
      </c>
      <c r="Q33" s="89" t="s">
        <v>70</v>
      </c>
    </row>
    <row r="34" spans="1:17" x14ac:dyDescent="0.25">
      <c r="B34" s="87" t="s">
        <v>3</v>
      </c>
      <c r="K34" s="88">
        <v>3.9</v>
      </c>
      <c r="Q34" s="88">
        <v>1.81</v>
      </c>
    </row>
    <row r="35" spans="1:17" x14ac:dyDescent="0.25">
      <c r="B35" s="87" t="s">
        <v>4</v>
      </c>
      <c r="K35" s="88">
        <v>2.52</v>
      </c>
      <c r="Q35" s="89" t="s">
        <v>70</v>
      </c>
    </row>
    <row r="36" spans="1:17" x14ac:dyDescent="0.25">
      <c r="B36" s="87" t="s">
        <v>5</v>
      </c>
      <c r="K36" s="88">
        <v>5.13</v>
      </c>
      <c r="Q36" s="88">
        <v>5.14</v>
      </c>
    </row>
    <row r="37" spans="1:17" x14ac:dyDescent="0.25">
      <c r="B37" s="87" t="s">
        <v>6</v>
      </c>
      <c r="K37" s="88">
        <v>4.26</v>
      </c>
      <c r="Q37" s="88">
        <v>3.35</v>
      </c>
    </row>
    <row r="38" spans="1:17" x14ac:dyDescent="0.25">
      <c r="B38" s="87" t="s">
        <v>7</v>
      </c>
      <c r="K38" s="88">
        <v>5.69</v>
      </c>
      <c r="Q38" s="88">
        <v>1.07</v>
      </c>
    </row>
    <row r="39" spans="1:17" x14ac:dyDescent="0.25">
      <c r="B39" s="87" t="s">
        <v>8</v>
      </c>
      <c r="K39" s="88">
        <v>5.21</v>
      </c>
      <c r="Q39" s="89" t="s">
        <v>70</v>
      </c>
    </row>
    <row r="42" spans="1:17" ht="15.75" x14ac:dyDescent="0.25">
      <c r="A42" s="84" t="s">
        <v>76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81"/>
      <c r="P42" s="81"/>
    </row>
    <row r="43" spans="1:17" x14ac:dyDescent="0.25">
      <c r="A43" s="90"/>
      <c r="B43" s="81" t="s">
        <v>53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2"/>
      <c r="O43" s="81"/>
      <c r="P43" s="81"/>
    </row>
    <row r="44" spans="1:17" x14ac:dyDescent="0.25">
      <c r="A44" s="90"/>
      <c r="B44" s="81" t="s">
        <v>54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2"/>
      <c r="O44" s="81"/>
      <c r="P44" s="81"/>
    </row>
    <row r="45" spans="1:17" x14ac:dyDescent="0.25">
      <c r="A45" s="80"/>
      <c r="B45" s="81" t="s">
        <v>55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2"/>
      <c r="O45" s="81"/>
      <c r="P45" s="81"/>
    </row>
  </sheetData>
  <sheetProtection algorithmName="SHA-512" hashValue="9UKgaJ1fAn4Fv4Cgd/qQO0g0qn1Zh2ytTLNNJSmRWUGWXp7T4kN5vHkHrHG07BVj5OjuULyuykma8kRkvdnwJA==" saltValue="QzygI8h7X3RMiOulj4VyZg==" spinCount="100000" sheet="1" objects="1" scenarios="1" selectLockedCells="1" selectUnlockedCells="1"/>
  <mergeCells count="3">
    <mergeCell ref="H5:H14"/>
    <mergeCell ref="I5:I14"/>
    <mergeCell ref="B18:B19"/>
  </mergeCells>
  <pageMargins left="0.7" right="0.7" top="0.78740157499999996" bottom="0.78740157499999996" header="0.3" footer="0.3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6283-6A89-4827-BB3B-4B5A1C671814}">
  <sheetPr codeName="Tabelle4"/>
  <dimension ref="A1:C22"/>
  <sheetViews>
    <sheetView workbookViewId="0">
      <selection activeCell="D10" sqref="D10"/>
    </sheetView>
  </sheetViews>
  <sheetFormatPr baseColWidth="10" defaultColWidth="11.5703125" defaultRowHeight="15" x14ac:dyDescent="0.25"/>
  <cols>
    <col min="1" max="1" width="4.5703125" style="2" customWidth="1"/>
    <col min="2" max="2" width="47.140625" style="2" bestFit="1" customWidth="1"/>
    <col min="3" max="3" width="13.42578125" style="1" bestFit="1" customWidth="1"/>
    <col min="4" max="16384" width="11.5703125" style="2"/>
  </cols>
  <sheetData>
    <row r="1" spans="1:3" x14ac:dyDescent="0.25">
      <c r="A1" s="2" t="s">
        <v>58</v>
      </c>
    </row>
    <row r="4" spans="1:3" x14ac:dyDescent="0.25">
      <c r="B4" s="3" t="s">
        <v>59</v>
      </c>
      <c r="C4" s="5" t="s">
        <v>63</v>
      </c>
    </row>
    <row r="5" spans="1:3" x14ac:dyDescent="0.25">
      <c r="A5" s="2">
        <v>1</v>
      </c>
      <c r="B5" s="4" t="s">
        <v>60</v>
      </c>
      <c r="C5" s="6">
        <f>IF(Schulformauswahl=Daten!B5,1,IF(Schulformauswahl=Daten!B6,2,IF(Schulformauswahl=Daten!B7,3,IF(Schulformauswahl=Daten!B8,4,IF(Schulformauswahl=Daten!B9,5,IF(Schulformauswahl=Daten!B10,6,IF(Schulformauswahl=Daten!B11,7,IF(Schulformauswahl=Daten!B12,8))))))))</f>
        <v>2</v>
      </c>
    </row>
    <row r="6" spans="1:3" x14ac:dyDescent="0.25">
      <c r="A6" s="2">
        <v>2</v>
      </c>
      <c r="B6" s="4" t="s">
        <v>87</v>
      </c>
    </row>
    <row r="7" spans="1:3" x14ac:dyDescent="0.25">
      <c r="A7" s="2">
        <v>3</v>
      </c>
      <c r="B7" s="4" t="s">
        <v>86</v>
      </c>
    </row>
    <row r="8" spans="1:3" x14ac:dyDescent="0.25">
      <c r="A8" s="2">
        <v>4</v>
      </c>
      <c r="B8" s="4" t="s">
        <v>38</v>
      </c>
    </row>
    <row r="9" spans="1:3" x14ac:dyDescent="0.25">
      <c r="A9" s="2">
        <v>5</v>
      </c>
      <c r="B9" s="4" t="s">
        <v>39</v>
      </c>
    </row>
    <row r="10" spans="1:3" x14ac:dyDescent="0.25">
      <c r="A10" s="2">
        <v>6</v>
      </c>
      <c r="B10" s="4" t="s">
        <v>62</v>
      </c>
    </row>
    <row r="11" spans="1:3" x14ac:dyDescent="0.25">
      <c r="A11" s="2">
        <v>7</v>
      </c>
      <c r="B11" s="4" t="s">
        <v>61</v>
      </c>
    </row>
    <row r="12" spans="1:3" x14ac:dyDescent="0.25">
      <c r="A12" s="2">
        <v>8</v>
      </c>
      <c r="B12" s="4" t="s">
        <v>40</v>
      </c>
    </row>
    <row r="15" spans="1:3" x14ac:dyDescent="0.25">
      <c r="B15" s="3" t="s">
        <v>64</v>
      </c>
      <c r="C15" s="5" t="s">
        <v>67</v>
      </c>
    </row>
    <row r="16" spans="1:3" x14ac:dyDescent="0.25">
      <c r="A16" s="2">
        <v>1</v>
      </c>
      <c r="B16" s="4" t="s">
        <v>65</v>
      </c>
      <c r="C16" s="6">
        <f>IF(ZV_J_N=Daten!B16,1,IF(ZV_J_N=Daten!B17,2))</f>
        <v>1</v>
      </c>
    </row>
    <row r="17" spans="1:3" x14ac:dyDescent="0.25">
      <c r="A17" s="2">
        <v>2</v>
      </c>
      <c r="B17" s="4" t="s">
        <v>66</v>
      </c>
    </row>
    <row r="20" spans="1:3" x14ac:dyDescent="0.25">
      <c r="B20" s="3" t="s">
        <v>68</v>
      </c>
      <c r="C20" s="5" t="s">
        <v>69</v>
      </c>
    </row>
    <row r="21" spans="1:3" x14ac:dyDescent="0.25">
      <c r="A21" s="2">
        <v>1</v>
      </c>
      <c r="B21" s="4" t="s">
        <v>65</v>
      </c>
      <c r="C21" s="6">
        <f>IF(rDB_J_N=Daten!B21,1,IF(rDB_J_N=Daten!B22,2))</f>
        <v>1</v>
      </c>
    </row>
    <row r="22" spans="1:3" x14ac:dyDescent="0.25">
      <c r="A22" s="2">
        <v>2</v>
      </c>
      <c r="B22" s="4" t="s">
        <v>66</v>
      </c>
    </row>
  </sheetData>
  <sheetProtection algorithmName="SHA-512" hashValue="TXyHBXB7eshLFfjPH9a2vUNKCEe6/IF6dmetWdCSgSrRntBg9IXPUC4egK4q2iW2GwuNkwJahR/k4/cH77Pupw==" saltValue="0jzLzfAyF17aPAWujeP89g==" spinCount="100000"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BC7E27-483E-45A8-854F-D3D99F0E45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33</vt:i4>
      </vt:variant>
    </vt:vector>
  </HeadingPairs>
  <TitlesOfParts>
    <vt:vector size="36" baseType="lpstr">
      <vt:lpstr>Prognose</vt:lpstr>
      <vt:lpstr>Berechnungsparameter</vt:lpstr>
      <vt:lpstr>Daten</vt:lpstr>
      <vt:lpstr>LESE</vt:lpstr>
      <vt:lpstr>LGE</vt:lpstr>
      <vt:lpstr>LGesSSekI</vt:lpstr>
      <vt:lpstr>LGesSSekII</vt:lpstr>
      <vt:lpstr>LGS</vt:lpstr>
      <vt:lpstr>LGymSekI</vt:lpstr>
      <vt:lpstr>LGymSekII</vt:lpstr>
      <vt:lpstr>LHÖ</vt:lpstr>
      <vt:lpstr>LHS</vt:lpstr>
      <vt:lpstr>LKME</vt:lpstr>
      <vt:lpstr>LLE</vt:lpstr>
      <vt:lpstr>LObS</vt:lpstr>
      <vt:lpstr>LRS</vt:lpstr>
      <vt:lpstr>LSE</vt:lpstr>
      <vt:lpstr>LSP</vt:lpstr>
      <vt:lpstr>PMESE</vt:lpstr>
      <vt:lpstr>PMGE</vt:lpstr>
      <vt:lpstr>PMKME</vt:lpstr>
      <vt:lpstr>PMSE</vt:lpstr>
      <vt:lpstr>rDB</vt:lpstr>
      <vt:lpstr>rDB_J_N</vt:lpstr>
      <vt:lpstr>SatzFöS</vt:lpstr>
      <vt:lpstr>SatzGes</vt:lpstr>
      <vt:lpstr>SatzGS</vt:lpstr>
      <vt:lpstr>SatzGym</vt:lpstr>
      <vt:lpstr>SatzHS</vt:lpstr>
      <vt:lpstr>SatzObS</vt:lpstr>
      <vt:lpstr>SatzPM</vt:lpstr>
      <vt:lpstr>SatzRS</vt:lpstr>
      <vt:lpstr>Schulformauswahl</vt:lpstr>
      <vt:lpstr>SF</vt:lpstr>
      <vt:lpstr>ZV</vt:lpstr>
      <vt:lpstr>ZV_J_N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Kwassow, Daniel (MK)</dc:creator>
  <cp:lastModifiedBy>Rosenberg, Andrea (MK)</cp:lastModifiedBy>
  <cp:lastPrinted>2025-06-18T14:34:11Z</cp:lastPrinted>
  <dcterms:created xsi:type="dcterms:W3CDTF">2025-04-23T13:12:25Z</dcterms:created>
  <dcterms:modified xsi:type="dcterms:W3CDTF">2025-07-08T08:34:47Z</dcterms:modified>
</cp:coreProperties>
</file>