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55" yWindow="105" windowWidth="13995" windowHeight="11850" activeTab="1"/>
  </bookViews>
  <sheets>
    <sheet name="Prognose Finanzhilfe" sheetId="1" r:id="rId1"/>
    <sheet name="Berechnungsgrößen" sheetId="2" r:id="rId2"/>
    <sheet name="D" sheetId="3" state="hidden" r:id="rId3"/>
  </sheets>
  <definedNames>
    <definedName name="_xlnm.Print_Area" localSheetId="1">'Berechnungsgrößen'!$A$1:$G$55</definedName>
    <definedName name="_xlnm.Print_Area" localSheetId="0">'Prognose Finanzhilfe'!$A$1:$I$47</definedName>
    <definedName name="PMESE">'D'!$D$33</definedName>
    <definedName name="PMGE">'D'!$D$35</definedName>
    <definedName name="PMKME">'D'!$D$36</definedName>
    <definedName name="PMSE">'D'!$D$37</definedName>
    <definedName name="PMSP">'D'!$D$34</definedName>
    <definedName name="SF">'D'!$F$6</definedName>
    <definedName name="StdFESE">'D'!$C$33</definedName>
    <definedName name="StdFGE">'D'!$C$35</definedName>
    <definedName name="StdFHÖ">'D'!$C$38</definedName>
    <definedName name="StdFKME">'D'!$C$36</definedName>
    <definedName name="StdFL">'D'!$C$32</definedName>
    <definedName name="StdFSE">'D'!$C$37</definedName>
    <definedName name="StdFSP">'D'!$C$34</definedName>
    <definedName name="StdGS">'D'!$C$26</definedName>
    <definedName name="StdGYI">'D'!$C$30</definedName>
    <definedName name="StdGYII">'D'!$C$31</definedName>
    <definedName name="StdHS">'D'!$C$27</definedName>
    <definedName name="StdObS">'D'!$C$29</definedName>
    <definedName name="StdRS">'D'!$C$28</definedName>
    <definedName name="STSFS">'D'!$C$21</definedName>
    <definedName name="StSGS">'D'!$C$16</definedName>
    <definedName name="STSGY">'D'!$C$20</definedName>
    <definedName name="STSHS">'D'!$C$17</definedName>
    <definedName name="STSObS">'D'!$C$19</definedName>
    <definedName name="STSPM">'D'!$C$22</definedName>
    <definedName name="STSRS">'D'!$C$18</definedName>
    <definedName name="SuSatzSozVers">'Berechnungsgrößen'!$D$42</definedName>
    <definedName name="Version">'Prognose Finanzhilfe'!$G$5</definedName>
    <definedName name="Z_1F1D3B45_3C25_4127_91DE_7DE19B094DA7_.wvu.PrintArea" localSheetId="1" hidden="1">'Berechnungsgrößen'!$A$1:$G$55</definedName>
    <definedName name="Z_1F1D3B45_3C25_4127_91DE_7DE19B094DA7_.wvu.PrintArea" localSheetId="0" hidden="1">'Prognose Finanzhilfe'!$A$1:$I$47</definedName>
    <definedName name="Z_C775778F_F785_4977_8E67_E795FBC58C4D_.wvu.PrintArea" localSheetId="0" hidden="1">'Prognose Finanzhilfe'!$A$1:$I$48</definedName>
  </definedNames>
  <calcPr fullCalcOnLoad="1"/>
</workbook>
</file>

<file path=xl/sharedStrings.xml><?xml version="1.0" encoding="utf-8"?>
<sst xmlns="http://schemas.openxmlformats.org/spreadsheetml/2006/main" count="101" uniqueCount="79">
  <si>
    <t>Datengrundlagen für das Blatt Berechnung</t>
  </si>
  <si>
    <t>1. Schulformen (Quelle für das Auswahlfeld unter 1.)</t>
  </si>
  <si>
    <t>Freie Waldorfschule mit Förderschulzweig</t>
  </si>
  <si>
    <t>Internationale Schule</t>
  </si>
  <si>
    <t>Förderschule</t>
  </si>
  <si>
    <t>ausgewählt (SF)</t>
  </si>
  <si>
    <t>2. Stundensätze nach § 150 NSchG</t>
  </si>
  <si>
    <t>GS</t>
  </si>
  <si>
    <t>HS</t>
  </si>
  <si>
    <t>RS</t>
  </si>
  <si>
    <t>FöS</t>
  </si>
  <si>
    <t>GY</t>
  </si>
  <si>
    <t>PM</t>
  </si>
  <si>
    <t>. / .</t>
  </si>
  <si>
    <t>GY Sek. I</t>
  </si>
  <si>
    <t>GY Sek. II</t>
  </si>
  <si>
    <t>FöS L</t>
  </si>
  <si>
    <t>FöS ESE</t>
  </si>
  <si>
    <t>FöS SP</t>
  </si>
  <si>
    <t>FöS GE</t>
  </si>
  <si>
    <t>FöS KME</t>
  </si>
  <si>
    <t>FöS SE</t>
  </si>
  <si>
    <t>FöS HÖ</t>
  </si>
  <si>
    <t>3. Schülerstunden</t>
  </si>
  <si>
    <t>LK</t>
  </si>
  <si>
    <t>Grund-, Haupt- oder Realschule, KGS, Gymnasium</t>
  </si>
  <si>
    <t>IGS, Freie Waldorfschule ohne Förderschulzweig</t>
  </si>
  <si>
    <t>(noch keine Auswahl)</t>
  </si>
  <si>
    <t>1.  Wählen Sie bitte zunächst für Ihre Schule die Schulform bzw. -art aus</t>
  </si>
  <si>
    <r>
      <t xml:space="preserve">Unter 2. finden Sie nach Auswahl der Schulform die für das o. g. Schuljahr geltenden Berechnungsgrößen und am    </t>
    </r>
    <r>
      <rPr>
        <b/>
        <u val="single"/>
        <sz val="8"/>
        <color indexed="10"/>
        <rFont val="Arial"/>
        <family val="2"/>
      </rPr>
      <t>Ende der Seite wichtige Hinweise</t>
    </r>
    <r>
      <rPr>
        <u val="single"/>
        <sz val="8"/>
        <rFont val="Arial"/>
        <family val="0"/>
      </rPr>
      <t>!</t>
    </r>
  </si>
  <si>
    <t xml:space="preserve">Lehrpersonal an </t>
  </si>
  <si>
    <t>Grundschulen</t>
  </si>
  <si>
    <t>Hauptschulen</t>
  </si>
  <si>
    <t>Realschulen</t>
  </si>
  <si>
    <t>Gymnasien</t>
  </si>
  <si>
    <t>Förderschulen</t>
  </si>
  <si>
    <t>Zusatzpersonal an Förderschulen</t>
  </si>
  <si>
    <t>1.</t>
  </si>
  <si>
    <t>2.</t>
  </si>
  <si>
    <t>Förderschulen mit dem Schwerpunkt</t>
  </si>
  <si>
    <t xml:space="preserve"> - Lernen</t>
  </si>
  <si>
    <t xml:space="preserve"> - Sprache</t>
  </si>
  <si>
    <t xml:space="preserve"> - Geistige Entwicklung</t>
  </si>
  <si>
    <t xml:space="preserve"> - Körperliche und motorische Entw.</t>
  </si>
  <si>
    <t xml:space="preserve"> - Emotionale u. soziale Entw.</t>
  </si>
  <si>
    <t xml:space="preserve"> - Sehen</t>
  </si>
  <si>
    <t xml:space="preserve"> - Hören</t>
  </si>
  <si>
    <t>Gymnasien, Sek. I</t>
  </si>
  <si>
    <t>Gymnasien, Sek. II</t>
  </si>
  <si>
    <t>Lehrpersonal</t>
  </si>
  <si>
    <t>Zusatzpersonal</t>
  </si>
  <si>
    <t>./.</t>
  </si>
  <si>
    <t>3.</t>
  </si>
  <si>
    <t>Gesetzliche Arbeitslosenversicherung</t>
  </si>
  <si>
    <t>Gesetzliche Krankenversicherung</t>
  </si>
  <si>
    <t>Gesetzliche Pflegeversicherung</t>
  </si>
  <si>
    <t>Gesetzliche Rentenversicherung</t>
  </si>
  <si>
    <t>Vomhundertsatz VBLU e. V.</t>
  </si>
  <si>
    <t>Summe der Prozentsätze</t>
  </si>
  <si>
    <t>[SGB III]</t>
  </si>
  <si>
    <t>[SGB XI]</t>
  </si>
  <si>
    <t>[SGB VI]</t>
  </si>
  <si>
    <t>[Satzung VBLU]</t>
  </si>
  <si>
    <t>[AOK Niedersachsen]</t>
  </si>
  <si>
    <t>Niedersächsisches Kultusministerium (Ref. 24)</t>
  </si>
  <si>
    <r>
      <t xml:space="preserve">Auf dieser Seite können Sie die Höhe des Grundbetrages, die maximale Höhe des Erhöhungsbetrages und die maximale Höhe der Finanzhilfe für Ihre Schule prognostizieren. Erforderlich ist dazu nur, dass Sie unter </t>
    </r>
    <r>
      <rPr>
        <b/>
        <u val="single"/>
        <sz val="8"/>
        <color indexed="12"/>
        <rFont val="Arial"/>
        <family val="2"/>
      </rPr>
      <t>1. die entsprechende Schulform auswählen</t>
    </r>
    <r>
      <rPr>
        <sz val="8"/>
        <color indexed="12"/>
        <rFont val="Arial"/>
        <family val="2"/>
      </rPr>
      <t xml:space="preserve"> </t>
    </r>
    <r>
      <rPr>
        <sz val="8"/>
        <rFont val="Arial"/>
        <family val="0"/>
      </rPr>
      <t xml:space="preserve">und anschließend unter </t>
    </r>
    <r>
      <rPr>
        <b/>
        <u val="single"/>
        <sz val="8"/>
        <color indexed="12"/>
        <rFont val="Arial"/>
        <family val="2"/>
      </rPr>
      <t>3. die Daten Ihrer Schule</t>
    </r>
    <r>
      <rPr>
        <b/>
        <sz val="8"/>
        <rFont val="Arial"/>
        <family val="2"/>
      </rPr>
      <t xml:space="preserve"> </t>
    </r>
    <r>
      <rPr>
        <sz val="8"/>
        <rFont val="Arial"/>
        <family val="0"/>
      </rPr>
      <t>in den grün hinterlegten Feldern eingeben.</t>
    </r>
  </si>
  <si>
    <t>Stundensätze nach § 150 Abs. 3 Satz 2 Niedersächsisches Schulgesetz</t>
  </si>
  <si>
    <t>Schülerstunden nach Anlage 1 zu § 1 Abs. 1 Finanzhilfeverordnung</t>
  </si>
  <si>
    <t>Prozentsätze nach § 150 Abs. 8 Satz 2 Niedersächsisches Schulgesetz</t>
  </si>
  <si>
    <t>Oberschule</t>
  </si>
  <si>
    <t>ObS</t>
  </si>
  <si>
    <t>Oberschulen</t>
  </si>
  <si>
    <t>Version 2011/12.endg.</t>
  </si>
  <si>
    <t>Finanzhilfeprognose für allgemein bildende Schulen in  freier Trägerschaft für das Schuljahr 2012/13</t>
  </si>
  <si>
    <t>Stand: August 2012</t>
  </si>
  <si>
    <t>(Stand Besoldungsrecht zum 01.08.2012, Nds. Besodungs- u. Versorgungsanpassungsgesetz 2011/2012 [GVBl. 2011 S. 141] )</t>
  </si>
  <si>
    <t>Berechnungsgrößen für die Finanzhilfe für allgemein bildende Schulen in freier Trägerschaft für das Schuljahr 2012/13</t>
  </si>
  <si>
    <t>(Stand 01.01.2013)</t>
  </si>
  <si>
    <t>(FinHVO vom 07.08.2007, zuletzt geä. durch VO v. 14.1.2013 (Nds.GVBl. S. 21)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</si>
</sst>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 numFmtId="169" formatCode="#,##0.0"/>
    <numFmt numFmtId="170" formatCode="0.000"/>
  </numFmts>
  <fonts count="26">
    <font>
      <sz val="10"/>
      <name val="Arial"/>
      <family val="0"/>
    </font>
    <font>
      <sz val="8"/>
      <name val="Tahoma"/>
      <family val="2"/>
    </font>
    <font>
      <b/>
      <sz val="10"/>
      <name val="Arial"/>
      <family val="2"/>
    </font>
    <font>
      <sz val="8"/>
      <name val="Arial"/>
      <family val="0"/>
    </font>
    <font>
      <b/>
      <sz val="8"/>
      <name val="Arial"/>
      <family val="0"/>
    </font>
    <font>
      <sz val="9"/>
      <color indexed="8"/>
      <name val="Arial"/>
      <family val="2"/>
    </font>
    <font>
      <sz val="8"/>
      <color indexed="8"/>
      <name val="Arial"/>
      <family val="2"/>
    </font>
    <font>
      <b/>
      <sz val="8"/>
      <color indexed="10"/>
      <name val="Arial"/>
      <family val="2"/>
    </font>
    <font>
      <b/>
      <sz val="8"/>
      <color indexed="8"/>
      <name val="Arial"/>
      <family val="2"/>
    </font>
    <font>
      <u val="single"/>
      <sz val="8"/>
      <name val="Arial"/>
      <family val="0"/>
    </font>
    <font>
      <b/>
      <u val="single"/>
      <sz val="8"/>
      <color indexed="10"/>
      <name val="Arial"/>
      <family val="2"/>
    </font>
    <font>
      <b/>
      <sz val="9"/>
      <color indexed="12"/>
      <name val="Arial"/>
      <family val="2"/>
    </font>
    <font>
      <b/>
      <sz val="8"/>
      <color indexed="12"/>
      <name val="Arial"/>
      <family val="2"/>
    </font>
    <font>
      <sz val="8"/>
      <color indexed="12"/>
      <name val="Arial"/>
      <family val="2"/>
    </font>
    <font>
      <b/>
      <sz val="10"/>
      <color indexed="12"/>
      <name val="Arial"/>
      <family val="2"/>
    </font>
    <font>
      <sz val="10"/>
      <color indexed="12"/>
      <name val="Arial"/>
      <family val="2"/>
    </font>
    <font>
      <sz val="8"/>
      <color indexed="10"/>
      <name val="Arial"/>
      <family val="2"/>
    </font>
    <font>
      <b/>
      <u val="single"/>
      <sz val="8"/>
      <color indexed="12"/>
      <name val="Arial"/>
      <family val="2"/>
    </font>
    <font>
      <sz val="9"/>
      <name val="Arial"/>
      <family val="2"/>
    </font>
    <font>
      <b/>
      <u val="single"/>
      <sz val="10"/>
      <name val="Arial"/>
      <family val="2"/>
    </font>
    <font>
      <u val="single"/>
      <sz val="10"/>
      <name val="Arial"/>
      <family val="0"/>
    </font>
    <font>
      <sz val="7"/>
      <color indexed="55"/>
      <name val="Arial"/>
      <family val="0"/>
    </font>
    <font>
      <sz val="10"/>
      <color indexed="9"/>
      <name val="Arial"/>
      <family val="0"/>
    </font>
    <font>
      <sz val="7"/>
      <name val="Arial"/>
      <family val="0"/>
    </font>
    <font>
      <b/>
      <u val="single"/>
      <sz val="10"/>
      <color indexed="10"/>
      <name val="Arial"/>
      <family val="2"/>
    </font>
    <font>
      <sz val="7"/>
      <color indexed="10"/>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3"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2" fillId="0" borderId="1" xfId="0" applyFont="1" applyBorder="1" applyAlignment="1">
      <alignment/>
    </xf>
    <xf numFmtId="0" fontId="0" fillId="0" borderId="2" xfId="0" applyBorder="1" applyAlignment="1">
      <alignment/>
    </xf>
    <xf numFmtId="0" fontId="0" fillId="0" borderId="3" xfId="0" applyBorder="1" applyAlignment="1">
      <alignment/>
    </xf>
    <xf numFmtId="0" fontId="0" fillId="3" borderId="0"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center"/>
    </xf>
    <xf numFmtId="0" fontId="0" fillId="0" borderId="9" xfId="0" applyFill="1" applyBorder="1" applyAlignment="1">
      <alignment/>
    </xf>
    <xf numFmtId="4" fontId="0" fillId="3" borderId="0" xfId="0" applyNumberFormat="1" applyFill="1" applyBorder="1" applyAlignment="1">
      <alignment/>
    </xf>
    <xf numFmtId="0" fontId="0" fillId="0" borderId="4" xfId="0" applyBorder="1" applyAlignment="1">
      <alignment/>
    </xf>
    <xf numFmtId="0" fontId="0" fillId="0" borderId="10" xfId="0" applyFill="1" applyBorder="1" applyAlignment="1">
      <alignment/>
    </xf>
    <xf numFmtId="4" fontId="0" fillId="3" borderId="5" xfId="0" applyNumberFormat="1" applyFill="1" applyBorder="1" applyAlignment="1">
      <alignment/>
    </xf>
    <xf numFmtId="0" fontId="0" fillId="0" borderId="6" xfId="0" applyBorder="1" applyAlignment="1">
      <alignment/>
    </xf>
    <xf numFmtId="0" fontId="2" fillId="0" borderId="11" xfId="0" applyFont="1" applyFill="1" applyBorder="1" applyAlignment="1">
      <alignment/>
    </xf>
    <xf numFmtId="0" fontId="6" fillId="0" borderId="6" xfId="0" applyFont="1" applyBorder="1" applyAlignment="1">
      <alignment horizontal="center" vertical="top" wrapText="1"/>
    </xf>
    <xf numFmtId="0" fontId="0" fillId="0" borderId="0" xfId="0" applyBorder="1" applyAlignment="1">
      <alignment/>
    </xf>
    <xf numFmtId="0" fontId="5" fillId="0" borderId="0" xfId="0" applyFont="1" applyBorder="1" applyAlignment="1">
      <alignment horizontal="left" vertical="top" wrapText="1" indent="1"/>
    </xf>
    <xf numFmtId="0" fontId="6" fillId="0" borderId="0" xfId="0" applyFont="1" applyBorder="1" applyAlignment="1">
      <alignment horizontal="left" vertical="top" wrapText="1" indent="1"/>
    </xf>
    <xf numFmtId="0" fontId="5" fillId="0" borderId="9" xfId="0" applyFont="1" applyBorder="1" applyAlignment="1">
      <alignment horizontal="left" vertical="top" wrapText="1" indent="1"/>
    </xf>
    <xf numFmtId="0" fontId="6" fillId="0" borderId="4" xfId="0" applyFont="1" applyBorder="1" applyAlignment="1">
      <alignment horizontal="center" vertical="top" wrapText="1"/>
    </xf>
    <xf numFmtId="0" fontId="6" fillId="0" borderId="9" xfId="0" applyFont="1" applyBorder="1" applyAlignment="1">
      <alignment horizontal="left" vertical="top" wrapText="1" indent="1"/>
    </xf>
    <xf numFmtId="0" fontId="6" fillId="0" borderId="10" xfId="0" applyFont="1" applyBorder="1" applyAlignment="1">
      <alignment horizontal="left" vertical="top" wrapText="1" indent="1"/>
    </xf>
    <xf numFmtId="0" fontId="0" fillId="0" borderId="12" xfId="0"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7" fillId="2" borderId="0" xfId="0" applyFont="1" applyFill="1" applyAlignment="1">
      <alignment/>
    </xf>
    <xf numFmtId="0" fontId="3" fillId="2" borderId="0"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0" fontId="3" fillId="2" borderId="0" xfId="0" applyFont="1" applyFill="1" applyBorder="1" applyAlignment="1">
      <alignment horizontal="centerContinuous"/>
    </xf>
    <xf numFmtId="0" fontId="4" fillId="2" borderId="0" xfId="0" applyFont="1" applyFill="1" applyBorder="1" applyAlignment="1">
      <alignment horizontal="center"/>
    </xf>
    <xf numFmtId="168"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68" fontId="4" fillId="2" borderId="0" xfId="0" applyNumberFormat="1" applyFont="1" applyFill="1" applyBorder="1" applyAlignment="1">
      <alignment horizontal="center"/>
    </xf>
    <xf numFmtId="168" fontId="3" fillId="2" borderId="0" xfId="0" applyNumberFormat="1" applyFont="1" applyFill="1" applyBorder="1" applyAlignment="1">
      <alignment horizontal="center"/>
    </xf>
    <xf numFmtId="0" fontId="2" fillId="3" borderId="9" xfId="0" applyFont="1" applyFill="1" applyBorder="1" applyAlignment="1">
      <alignment/>
    </xf>
    <xf numFmtId="169" fontId="3" fillId="2" borderId="0" xfId="0" applyNumberFormat="1" applyFont="1" applyFill="1" applyBorder="1" applyAlignment="1" applyProtection="1">
      <alignment horizontal="center"/>
      <protection locked="0"/>
    </xf>
    <xf numFmtId="0" fontId="8" fillId="2" borderId="0" xfId="0" applyFont="1" applyFill="1" applyBorder="1" applyAlignment="1">
      <alignment/>
    </xf>
    <xf numFmtId="0" fontId="2" fillId="3" borderId="0" xfId="0" applyFont="1" applyFill="1" applyBorder="1" applyAlignment="1">
      <alignment/>
    </xf>
    <xf numFmtId="0" fontId="2" fillId="3" borderId="10" xfId="0" applyFont="1" applyFill="1" applyBorder="1" applyAlignment="1">
      <alignment/>
    </xf>
    <xf numFmtId="0" fontId="2" fillId="3" borderId="5" xfId="0" applyFont="1" applyFill="1" applyBorder="1" applyAlignment="1">
      <alignment/>
    </xf>
    <xf numFmtId="0" fontId="3" fillId="2" borderId="0" xfId="0" applyFont="1" applyFill="1" applyAlignment="1">
      <alignment/>
    </xf>
    <xf numFmtId="4" fontId="3" fillId="2" borderId="0" xfId="0" applyNumberFormat="1"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left" vertical="center"/>
    </xf>
    <xf numFmtId="0" fontId="15" fillId="2" borderId="0" xfId="0" applyFont="1" applyFill="1" applyBorder="1" applyAlignment="1">
      <alignment horizontal="centerContinuous" vertical="center"/>
    </xf>
    <xf numFmtId="0" fontId="0" fillId="2" borderId="0" xfId="0" applyFont="1" applyFill="1" applyAlignment="1">
      <alignment vertical="center"/>
    </xf>
    <xf numFmtId="0" fontId="10" fillId="2" borderId="0" xfId="0" applyFont="1" applyFill="1" applyAlignment="1">
      <alignment/>
    </xf>
    <xf numFmtId="169" fontId="3" fillId="2" borderId="0" xfId="0" applyNumberFormat="1" applyFont="1" applyFill="1" applyAlignment="1">
      <alignment horizontal="center"/>
    </xf>
    <xf numFmtId="0" fontId="8" fillId="2" borderId="0" xfId="0" applyFont="1" applyFill="1" applyBorder="1" applyAlignment="1">
      <alignment horizontal="center"/>
    </xf>
    <xf numFmtId="0" fontId="2" fillId="2" borderId="0" xfId="0" applyFont="1" applyFill="1" applyAlignment="1">
      <alignment vertical="top"/>
    </xf>
    <xf numFmtId="0" fontId="2" fillId="2" borderId="0" xfId="0" applyFont="1" applyFill="1" applyAlignment="1">
      <alignment horizontal="right" vertical="top"/>
    </xf>
    <xf numFmtId="14" fontId="18" fillId="2" borderId="0" xfId="0" applyNumberFormat="1" applyFont="1" applyFill="1" applyAlignment="1">
      <alignment vertical="top"/>
    </xf>
    <xf numFmtId="0" fontId="6" fillId="2" borderId="0" xfId="0" applyFont="1" applyFill="1" applyAlignment="1">
      <alignment/>
    </xf>
    <xf numFmtId="0" fontId="2" fillId="2" borderId="0" xfId="0" applyFont="1" applyFill="1" applyAlignment="1">
      <alignment/>
    </xf>
    <xf numFmtId="0" fontId="0" fillId="2" borderId="0" xfId="0" applyFill="1" applyAlignment="1">
      <alignment/>
    </xf>
    <xf numFmtId="0" fontId="20" fillId="2" borderId="0" xfId="0" applyFont="1" applyFill="1" applyAlignment="1">
      <alignment/>
    </xf>
    <xf numFmtId="168" fontId="0" fillId="2"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center"/>
    </xf>
    <xf numFmtId="0" fontId="21" fillId="2" borderId="0" xfId="0" applyFont="1" applyFill="1" applyAlignment="1">
      <alignment/>
    </xf>
    <xf numFmtId="0" fontId="22" fillId="2" borderId="0" xfId="0" applyFont="1" applyFill="1" applyAlignment="1">
      <alignment/>
    </xf>
    <xf numFmtId="0" fontId="23" fillId="2" borderId="0" xfId="0" applyFont="1" applyFill="1" applyAlignment="1">
      <alignment/>
    </xf>
    <xf numFmtId="2" fontId="6" fillId="3" borderId="0" xfId="0" applyNumberFormat="1" applyFont="1" applyFill="1" applyBorder="1" applyAlignment="1">
      <alignment horizontal="center" vertical="top" wrapText="1"/>
    </xf>
    <xf numFmtId="2" fontId="6" fillId="3" borderId="5" xfId="0" applyNumberFormat="1" applyFont="1" applyFill="1" applyBorder="1" applyAlignment="1">
      <alignment horizontal="center" vertical="top" wrapText="1"/>
    </xf>
    <xf numFmtId="2" fontId="6" fillId="3" borderId="4" xfId="0" applyNumberFormat="1" applyFont="1" applyFill="1" applyBorder="1" applyAlignment="1">
      <alignment horizontal="center" vertical="top" wrapText="1"/>
    </xf>
    <xf numFmtId="170" fontId="0" fillId="2" borderId="0" xfId="0" applyNumberFormat="1" applyFill="1" applyAlignment="1">
      <alignment horizontal="center"/>
    </xf>
    <xf numFmtId="0" fontId="24" fillId="2" borderId="0" xfId="0" applyFont="1" applyFill="1" applyAlignment="1">
      <alignment/>
    </xf>
    <xf numFmtId="0" fontId="14" fillId="2" borderId="0" xfId="0" applyFont="1" applyFill="1" applyBorder="1" applyAlignment="1">
      <alignment vertical="center"/>
    </xf>
    <xf numFmtId="14" fontId="0" fillId="2" borderId="0" xfId="0" applyNumberFormat="1" applyFill="1" applyAlignment="1">
      <alignment/>
    </xf>
    <xf numFmtId="4" fontId="0" fillId="2" borderId="0" xfId="0" applyNumberFormat="1" applyFill="1" applyAlignment="1">
      <alignment/>
    </xf>
    <xf numFmtId="0" fontId="3" fillId="2" borderId="0" xfId="0" applyFont="1" applyFill="1" applyAlignment="1">
      <alignment horizontal="right"/>
    </xf>
    <xf numFmtId="0" fontId="2" fillId="3" borderId="1" xfId="0" applyFont="1" applyFill="1" applyBorder="1" applyAlignment="1">
      <alignment/>
    </xf>
    <xf numFmtId="0" fontId="2" fillId="3" borderId="2" xfId="0" applyFont="1" applyFill="1" applyBorder="1" applyAlignment="1">
      <alignment/>
    </xf>
    <xf numFmtId="0" fontId="0" fillId="3" borderId="2" xfId="0" applyFill="1" applyBorder="1" applyAlignment="1">
      <alignment/>
    </xf>
    <xf numFmtId="0" fontId="0" fillId="3" borderId="3" xfId="0" applyFill="1" applyBorder="1" applyAlignment="1">
      <alignment/>
    </xf>
    <xf numFmtId="1" fontId="2" fillId="3" borderId="6" xfId="0" applyNumberFormat="1" applyFont="1" applyFill="1" applyBorder="1" applyAlignment="1">
      <alignment horizontal="center"/>
    </xf>
    <xf numFmtId="1" fontId="3" fillId="2" borderId="0" xfId="0" applyNumberFormat="1" applyFont="1" applyFill="1" applyAlignment="1">
      <alignment horizontal="left"/>
    </xf>
    <xf numFmtId="1" fontId="4" fillId="2" borderId="0" xfId="0" applyNumberFormat="1" applyFont="1" applyFill="1" applyAlignment="1">
      <alignment horizontal="left"/>
    </xf>
    <xf numFmtId="1" fontId="0" fillId="2" borderId="0" xfId="0" applyNumberFormat="1" applyFont="1" applyFill="1" applyAlignment="1">
      <alignment horizontal="left" vertical="center"/>
    </xf>
    <xf numFmtId="1" fontId="3" fillId="2" borderId="0" xfId="0" applyNumberFormat="1" applyFont="1" applyFill="1" applyBorder="1" applyAlignment="1">
      <alignment horizontal="left"/>
    </xf>
    <xf numFmtId="168" fontId="3" fillId="2" borderId="0" xfId="0" applyNumberFormat="1" applyFont="1" applyFill="1" applyBorder="1" applyAlignment="1">
      <alignment/>
    </xf>
    <xf numFmtId="0" fontId="8" fillId="2" borderId="0" xfId="0" applyFont="1" applyFill="1" applyAlignment="1">
      <alignment/>
    </xf>
    <xf numFmtId="168" fontId="0" fillId="0" borderId="0" xfId="0" applyNumberFormat="1" applyFill="1" applyAlignment="1">
      <alignment/>
    </xf>
    <xf numFmtId="2" fontId="0" fillId="0" borderId="0" xfId="0" applyNumberFormat="1" applyFill="1" applyAlignment="1">
      <alignment horizontal="center"/>
    </xf>
    <xf numFmtId="0" fontId="0" fillId="0" borderId="0" xfId="0" applyFill="1" applyAlignment="1">
      <alignment horizontal="right"/>
    </xf>
    <xf numFmtId="0" fontId="3" fillId="0" borderId="0" xfId="0" applyFont="1" applyFill="1" applyAlignment="1">
      <alignment/>
    </xf>
    <xf numFmtId="0" fontId="25" fillId="2" borderId="0" xfId="0" applyFont="1" applyFill="1" applyBorder="1" applyAlignment="1">
      <alignment/>
    </xf>
    <xf numFmtId="0" fontId="3" fillId="2" borderId="0" xfId="0" applyFont="1" applyFill="1" applyAlignment="1">
      <alignment vertical="top" wrapText="1"/>
    </xf>
    <xf numFmtId="0" fontId="9" fillId="2" borderId="0" xfId="0" applyFont="1" applyFill="1" applyAlignment="1">
      <alignment vertical="top" wrapText="1"/>
    </xf>
    <xf numFmtId="0" fontId="16" fillId="2" borderId="0" xfId="0" applyFont="1" applyFill="1" applyAlignment="1">
      <alignment wrapText="1"/>
    </xf>
    <xf numFmtId="0" fontId="11" fillId="2" borderId="0" xfId="0" applyFont="1" applyFill="1" applyAlignment="1">
      <alignment/>
    </xf>
    <xf numFmtId="0" fontId="16" fillId="2" borderId="0" xfId="0" applyFont="1" applyFill="1" applyAlignment="1">
      <alignment/>
    </xf>
    <xf numFmtId="0" fontId="19" fillId="2" borderId="0" xfId="0" applyFont="1" applyFill="1" applyAlignment="1">
      <alignment horizontal="center" wrapText="1"/>
    </xf>
  </cellXfs>
  <cellStyles count="6">
    <cellStyle name="Normal" xfId="0"/>
    <cellStyle name="Comma" xfId="15"/>
    <cellStyle name="Comma [0]" xfId="16"/>
    <cellStyle name="Percent" xfId="17"/>
    <cellStyle name="Currency" xfId="18"/>
    <cellStyle name="Currency [0]" xfId="19"/>
  </cellStyles>
  <dxfs count="11">
    <dxf>
      <fill>
        <patternFill>
          <bgColor rgb="FFCCFFCC"/>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left style="thin">
          <color rgb="FF000000"/>
        </left>
        <right style="thin">
          <color rgb="FF000000"/>
        </right>
        <top style="thin">
          <color rgb="FF000000"/>
        </top>
        <bottom>
          <color rgb="FF000000"/>
        </bottom>
      </border>
    </dxf>
    <dxf>
      <border>
        <left style="thin">
          <color rgb="FF000000"/>
        </left>
        <right style="thin">
          <color rgb="FF000000"/>
        </right>
        <bottom style="thin">
          <color rgb="FF000000"/>
        </bottom>
      </border>
    </dxf>
    <dxf>
      <fill>
        <patternFill patternType="gray0625"/>
      </fill>
      <border>
        <left>
          <color rgb="FF000000"/>
        </left>
        <right>
          <color rgb="FF000000"/>
        </right>
        <top style="thin"/>
        <bottom style="thin">
          <color rgb="FF000000"/>
        </bottom>
      </border>
    </dxf>
    <dxf>
      <fill>
        <patternFill patternType="gray0625"/>
      </fill>
      <border>
        <left>
          <color rgb="FF000000"/>
        </left>
        <right style="thin">
          <color rgb="FF000000"/>
        </right>
        <top style="thin"/>
        <bottom style="thin">
          <color rgb="FF000000"/>
        </bottom>
      </border>
    </dxf>
    <dxf>
      <fill>
        <patternFill patternType="gray0625"/>
      </fill>
      <border>
        <left style="thin">
          <color rgb="FF000000"/>
        </left>
        <right style="thin">
          <color rgb="FF000000"/>
        </right>
        <top style="thin"/>
        <bottom style="thin">
          <color rgb="FF000000"/>
        </bottom>
      </border>
    </dxf>
    <dxf>
      <fill>
        <patternFill patternType="gray0625"/>
      </fill>
      <border>
        <left style="thin">
          <color rgb="FF000000"/>
        </left>
        <right>
          <color rgb="FF000000"/>
        </right>
        <top style="thin"/>
        <bottom style="thin">
          <color rgb="FF000000"/>
        </bottom>
      </border>
    </dxf>
    <dxf>
      <font>
        <color rgb="FFFFFFFF"/>
      </font>
      <border>
        <left style="thin">
          <color rgb="FF000000"/>
        </left>
        <right style="thin">
          <color rgb="FF000000"/>
        </right>
        <top style="thin"/>
        <bottom style="thin">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I48"/>
  <sheetViews>
    <sheetView showRowColHeaders="0" workbookViewId="0" topLeftCell="A1">
      <selection activeCell="B23" sqref="B23"/>
    </sheetView>
  </sheetViews>
  <sheetFormatPr defaultColWidth="11.421875" defaultRowHeight="12.75"/>
  <cols>
    <col min="1" max="1" width="36.421875" style="2" customWidth="1"/>
    <col min="2" max="8" width="11.7109375" style="2" customWidth="1"/>
    <col min="9" max="16384" width="11.421875" style="2" customWidth="1"/>
  </cols>
  <sheetData>
    <row r="1" spans="1:8" ht="15" customHeight="1">
      <c r="A1" s="58" t="s">
        <v>73</v>
      </c>
      <c r="B1" s="58"/>
      <c r="C1" s="58"/>
      <c r="D1" s="58"/>
      <c r="E1" s="58"/>
      <c r="F1" s="59"/>
      <c r="H1" s="60">
        <f ca="1">TODAY()</f>
        <v>41347</v>
      </c>
    </row>
    <row r="2" spans="1:9" ht="34.5" customHeight="1">
      <c r="A2" s="96" t="s">
        <v>65</v>
      </c>
      <c r="B2" s="96"/>
      <c r="C2" s="96"/>
      <c r="D2" s="96"/>
      <c r="E2" s="96"/>
      <c r="F2" s="96"/>
      <c r="G2" s="96"/>
      <c r="H2" s="96"/>
      <c r="I2" s="85"/>
    </row>
    <row r="3" spans="1:9" ht="11.25">
      <c r="A3" s="97" t="s">
        <v>29</v>
      </c>
      <c r="B3" s="97"/>
      <c r="C3" s="97"/>
      <c r="D3" s="97"/>
      <c r="E3" s="97"/>
      <c r="F3" s="97"/>
      <c r="G3" s="97"/>
      <c r="H3" s="97"/>
      <c r="I3" s="85"/>
    </row>
    <row r="4" spans="1:9" ht="12">
      <c r="A4" s="99" t="s">
        <v>28</v>
      </c>
      <c r="B4" s="99"/>
      <c r="C4" s="99"/>
      <c r="I4" s="85"/>
    </row>
    <row r="5" spans="7:9" ht="11.25">
      <c r="G5" s="70" t="s">
        <v>72</v>
      </c>
      <c r="I5" s="85"/>
    </row>
    <row r="6" spans="1:9" ht="11.25" customHeight="1">
      <c r="A6" s="49"/>
      <c r="I6" s="85"/>
    </row>
    <row r="7" spans="1:9" ht="2.25" customHeight="1">
      <c r="A7" s="35"/>
      <c r="C7" s="37"/>
      <c r="D7" s="37"/>
      <c r="E7" s="37"/>
      <c r="F7" s="37"/>
      <c r="G7" s="37"/>
      <c r="H7" s="37"/>
      <c r="I7" s="85"/>
    </row>
    <row r="8" spans="1:9" ht="11.25">
      <c r="A8" s="90" t="str">
        <f>IF(SF=1,"","2. Maßgebliche Größen für die Berechnung")</f>
        <v>2. Maßgebliche Größen für die Berechnung</v>
      </c>
      <c r="B8" s="57" t="str">
        <f>IF(SF=1,"",IF(SF=2,"GS",IF(SF=3,"ObS",IF(OR(SF=4,SF=5,SF=6),"Primarb.",IF(SF=7,"FöS L",)))))</f>
        <v>GS</v>
      </c>
      <c r="C8" s="57" t="str">
        <f>IF(OR(SF=1,SF=3),"",IF(SF=2,"HS",IF(OR(SF=4,SF=5,SF=6),"Sek. I",IF(SF=7,"FöS ESE"))))</f>
        <v>HS</v>
      </c>
      <c r="D8" s="57" t="str">
        <f>IF(SF=2,"RS",IF(OR(SF=4,SF=5,SF=6),"Sek. II",IF(SF=7,"FöS SP","")))</f>
        <v>RS</v>
      </c>
      <c r="E8" s="57" t="str">
        <f>IF(SF=2,"GY-Sek. I",IF(SF=5,"FöS L",IF(SF=7,"FöS GE","")))</f>
        <v>GY-Sek. I</v>
      </c>
      <c r="F8" s="57" t="str">
        <f>IF(SF=2,"GY-Sek. II",IF(SF=5,"FöS ESE",IF(SF=7,"FöS KME","")))</f>
        <v>GY-Sek. II</v>
      </c>
      <c r="G8" s="57">
        <f>IF(SF=5,"FöS GE",IF(SF=7,"FöS SE",""))</f>
      </c>
      <c r="H8" s="57">
        <f>IF(SF=5,"FöS KME",IF(SF=7,"FöS HÖ",""))</f>
      </c>
      <c r="I8" s="85"/>
    </row>
    <row r="9" spans="1:9" s="4" customFormat="1" ht="11.25">
      <c r="A9" s="36" t="str">
        <f>IF(SF=1,"","Schülerbetrag nach öffentlichen Schulen")</f>
        <v>Schülerbetrag nach öffentlichen Schulen</v>
      </c>
      <c r="B9" s="41">
        <f>IF(OR(SF=2,SF=4,SF=5,SF=6),StdGS*StSGS,IF(SF=3,StdObS*STSObS,IF(SF=7,StdFL*STSFS,"")))</f>
        <v>2426.6309</v>
      </c>
      <c r="C9" s="41">
        <f>IF(SF=2,StdHS*STSHS,IF(OR(SF=4,SF=5,SF=6),StdGYI*STSGY,IF(SF=7,StdFESE*STSFS+PMESE*STSPM,"")))</f>
        <v>3926.3328</v>
      </c>
      <c r="D9" s="41">
        <f>IF(SF=2,StdRS*STSRS,IF(OR(SF=4,SF=5,SF=6),StdGYII*STSGY,IF(SF=7,StdFSP*STSFS+PMSP*STSPM,"")))</f>
        <v>2923.9848</v>
      </c>
      <c r="E9" s="41">
        <f>IF(SF=2,StdGYI*STSGY,IF(SF=5,StdFL*STSFS,IF(SF=7,StdFGE*STSFS+PMGE*STSPM,"")))</f>
        <v>3296.7774</v>
      </c>
      <c r="F9" s="41">
        <f>IF(SF=2,StdGYII*STSGY,IF(SF=5,StdFESE*STSFS+PMESE*STSPM,IF(SF=7,StdFKME*STSFS+PMKME*STSPM,"")))</f>
        <v>4709.682</v>
      </c>
      <c r="G9" s="41">
        <f>IF(SF=5,StdFGE*STSFS+PMGE*STSPM,IF(SF=7,StdFSE*STSFS+PMSE*STSPM,""))</f>
      </c>
      <c r="H9" s="41">
        <f>IF(SF=5,StdFKME*STSFS+PMKME*STSPM,IF(SF=7,StdFHÖ*STSFS,""))</f>
      </c>
      <c r="I9" s="86"/>
    </row>
    <row r="10" spans="1:9" ht="11.25">
      <c r="A10" s="61" t="str">
        <f>IF(SF=1,"",IF(OR(SF=4,SF=6),"2.1.  für Lehrkräfte aus","aus"))</f>
        <v>aus</v>
      </c>
      <c r="B10" s="38"/>
      <c r="C10" s="38"/>
      <c r="D10" s="38"/>
      <c r="E10" s="38"/>
      <c r="F10" s="38"/>
      <c r="G10" s="38"/>
      <c r="H10" s="38"/>
      <c r="I10" s="85"/>
    </row>
    <row r="11" spans="1:9" ht="11.25">
      <c r="A11" s="35" t="str">
        <f>IF(SF=1,"","Stundensatz lt. § 150 NSchG* ")</f>
        <v>Stundensatz lt. § 150 NSchG* </v>
      </c>
      <c r="B11" s="39">
        <f>IF(OR(SF=2,SF=4,SF=5,SF=6),StSGS,IF(SF=3,STSObS,IF(SF=7,STSFS,"")))</f>
        <v>1852.39</v>
      </c>
      <c r="C11" s="39">
        <f>IF(SF=2,STSHS,IF(OR(SF=4,SF=5,SF=6),STSGY,IF(SF=7,STSFS,"")))</f>
        <v>1887.66</v>
      </c>
      <c r="D11" s="39">
        <f>IF(SF=2,STSRS,IF(OR(SF=4,SF=5,SF=6),STSGY,IF(SF=7,STSFS,"")))</f>
        <v>2215.14</v>
      </c>
      <c r="E11" s="39">
        <f>IF(SF=2,STSGY,IF(OR(SF=5,SF=7),STSFS,""))</f>
        <v>2616.49</v>
      </c>
      <c r="F11" s="39">
        <f>IF(SF=2,STSGY,IF(OR(SF=5,SF=7),STSFS,""))</f>
        <v>2616.49</v>
      </c>
      <c r="G11" s="39">
        <f>IF(OR(SF=5,SF=7),STSFS,"")</f>
      </c>
      <c r="H11" s="39">
        <f>IF(OR(SF=5,SF=7),STSFS,"")</f>
      </c>
      <c r="I11" s="85"/>
    </row>
    <row r="12" spans="1:9" ht="11.25">
      <c r="A12" s="35" t="str">
        <f>IF(SF=1,"","mal Schülerstunden lt. § 1 FH-VO")</f>
        <v>mal Schülerstunden lt. § 1 FH-VO</v>
      </c>
      <c r="B12" s="40">
        <f>IF(OR(SF=2,SF=4,SF=5,SF=6),StdGS,IF(SF=3,StdObS,IF(SF=7,StdFL,"")))</f>
        <v>1.31</v>
      </c>
      <c r="C12" s="40">
        <f>IF(SF=2,StdHS,IF(OR(SF=4,SF=5,SF=6),StdGYI,IF(SF=7,StdFESE,"")))</f>
        <v>2.08</v>
      </c>
      <c r="D12" s="40">
        <f>IF(SF=2,StdRS,IF(OR(SF=4,SF=5,SF=6),StdGYII,IF(SF=7,StdFSP,"")))</f>
        <v>1.32</v>
      </c>
      <c r="E12" s="40">
        <f>IF(SF=2,StdGYI,IF(SF=5,StdFL,IF(SF=7,StdFGE,"")))</f>
        <v>1.26</v>
      </c>
      <c r="F12" s="40">
        <f>IF(SF=2,StdGYII,IF(SF=5,StdFESE,IF(SF=7,StdFKME,"")))</f>
        <v>1.8</v>
      </c>
      <c r="G12" s="40">
        <f>IF(SF=5,StdFGE,IF(SF=7,StdFSE,""))</f>
      </c>
      <c r="H12" s="40">
        <f>IF(SF=5,StdFKME,IF(SF=7,StdFHÖ,""))</f>
      </c>
      <c r="I12" s="85"/>
    </row>
    <row r="13" spans="1:9" ht="11.25">
      <c r="A13" s="34">
        <f>IF(OR(SF=5,SF=7),"Teilschülerbetrag Lehrkräfte öff. Schulen","")</f>
      </c>
      <c r="B13" s="42">
        <f>IF(SF=5,StdGS*StSGS,IF(SF=7,StdFL*STSFS,""))</f>
      </c>
      <c r="C13" s="42">
        <f>IF(SF=5,StdGYI*STSGY,IF(SF=7,StdFESE*STSFS,""))</f>
      </c>
      <c r="D13" s="42">
        <f>IF(SF=5,StdGYII*STSGY,IF(SF=7,StdFSP*STSFS,""))</f>
      </c>
      <c r="E13" s="42">
        <f>IF(SF=5,StdFL*STSFS,IF(SF=7,StdFGE*STSFS,""))</f>
      </c>
      <c r="F13" s="42">
        <f>IF(SF=5,StdFESE*STSFS,IF(SF=7,StdFKME*STSFS,""))</f>
      </c>
      <c r="G13" s="42">
        <f>IF(SF=5,StdFGE*STSFS,IF(SF=7,StdFSE*STSFS,""))</f>
      </c>
      <c r="H13" s="42">
        <f>IF(SF=5,StdFKME*STSFS,IF(SF=7,StdFHÖ*STSFS,""))</f>
      </c>
      <c r="I13" s="85"/>
    </row>
    <row r="14" spans="1:9" ht="12.75" customHeight="1">
      <c r="A14" s="34">
        <f>IF(OR(SF=5,SF=7),"2.2.  für Päd. Mitarbeiter aus","")</f>
      </c>
      <c r="B14" s="35"/>
      <c r="C14" s="35"/>
      <c r="D14" s="35"/>
      <c r="E14" s="35"/>
      <c r="F14" s="35"/>
      <c r="G14" s="35"/>
      <c r="H14" s="35"/>
      <c r="I14" s="85"/>
    </row>
    <row r="15" spans="1:9" ht="11.25">
      <c r="A15" s="35">
        <f>IF(OR(SF=5,SF=7),"Stundensatz lt. § 150 NSchG*","")</f>
      </c>
      <c r="B15" s="39">
        <f>IF(SF=7,"keine PM in 'L'","")</f>
      </c>
      <c r="C15" s="39">
        <f>IF(SF=7,STSPM,"")</f>
      </c>
      <c r="D15" s="39">
        <f>IF(SF=7,STSPM,"")</f>
      </c>
      <c r="E15" s="39">
        <f>IF(SF=7,STSPM,IF(SF=5,"keine PM in 'L'",""))</f>
      </c>
      <c r="F15" s="39">
        <f>IF(OR(SF=5,SF=7),STSPM,"")</f>
      </c>
      <c r="G15" s="39">
        <f>IF(OR(SF=5,SF=7),STSPM,"")</f>
      </c>
      <c r="H15" s="39">
        <f>IF(SF=5,STSPM,IF(SF=7,"keine PM in 'HÖ'",""))</f>
      </c>
      <c r="I15" s="85"/>
    </row>
    <row r="16" spans="1:9" ht="11.25">
      <c r="A16" s="35">
        <f>IF(OR(SF=5,SF=7),"mal Schülerstunden lt. FH-VO","")</f>
      </c>
      <c r="B16" s="40">
        <f>IF(SF=7,"keine PM in 'L'","")</f>
      </c>
      <c r="C16" s="40">
        <f>IF(SF=7,PMESE,"")</f>
      </c>
      <c r="D16" s="40">
        <f>IF(SF=7,PMSP,"")</f>
      </c>
      <c r="E16" s="40">
        <f>IF(SF=7,PMGE,IF(SF=5,"keine PM in 'L'",""))</f>
      </c>
      <c r="F16" s="40">
        <f>IF(SF=5,PMESE,IF(SF=7,PMKME,""))</f>
      </c>
      <c r="G16" s="40">
        <f>IF(SF=5,PMGE,IF(SF=7,PMSE,""))</f>
      </c>
      <c r="H16" s="40">
        <f>IF(SF=5,PMKME,IF(SF=7,"keine PM in 'HÖ'",""))</f>
      </c>
      <c r="I16" s="85"/>
    </row>
    <row r="17" spans="1:9" ht="11.25">
      <c r="A17" s="34">
        <f>IF(OR(SF=5,SF=7),"Teilschülerbetrag Päd. Mitarb. öff. Schulen","")</f>
      </c>
      <c r="B17" s="42">
        <f>IF(SF=7,0,"")</f>
      </c>
      <c r="C17" s="42">
        <f>IF(SF=7,PMESE*STSPM,"")</f>
      </c>
      <c r="D17" s="42">
        <f>IF(SF=7,PMSP*STSPM,"")</f>
      </c>
      <c r="E17" s="42">
        <f>IF(SF=7,PMGE*STSPM,"")</f>
      </c>
      <c r="F17" s="42">
        <f>IF(SF=5,PMESE*STSPM,IF(SF=7,PMKME*STSPM,""))</f>
      </c>
      <c r="G17" s="42">
        <f>IF(SF=5,PMGE*STSPM,IF(SF=7,PMSE*STSPM,""))</f>
      </c>
      <c r="H17" s="42">
        <f>IF(SF=5,PMKME*STSPM,IF(SF=7,0,""))</f>
      </c>
      <c r="I17" s="85"/>
    </row>
    <row r="18" spans="1:9" ht="11.25">
      <c r="A18" s="95">
        <f>IF(SF=1,"","")</f>
      </c>
      <c r="B18" s="95"/>
      <c r="C18" s="95"/>
      <c r="D18" s="95"/>
      <c r="E18" s="95"/>
      <c r="F18" s="95"/>
      <c r="G18" s="95"/>
      <c r="H18" s="95"/>
      <c r="I18" s="85"/>
    </row>
    <row r="19" spans="1:9" s="54" customFormat="1" ht="18" customHeight="1">
      <c r="A19" s="76" t="str">
        <f>IF(SF&gt;1,"3.  Ihre Dateneingaben zu den entsprechenden Gliederungen (bitte nur in den grün hinterlegten Feldern)","")</f>
        <v>3.  Ihre Dateneingaben zu den entsprechenden Gliederungen (bitte nur in den grün hinterlegten Feldern)</v>
      </c>
      <c r="B19" s="52"/>
      <c r="C19" s="53"/>
      <c r="D19" s="53"/>
      <c r="E19" s="53"/>
      <c r="F19" s="53"/>
      <c r="G19" s="53"/>
      <c r="H19" s="53"/>
      <c r="I19" s="87"/>
    </row>
    <row r="20" spans="1:9" ht="12" customHeight="1">
      <c r="A20" s="33"/>
      <c r="B20" s="51" t="str">
        <f>B8</f>
        <v>GS</v>
      </c>
      <c r="C20" s="51" t="str">
        <f aca="true" t="shared" si="0" ref="C20:H20">C8</f>
        <v>HS</v>
      </c>
      <c r="D20" s="51" t="str">
        <f t="shared" si="0"/>
        <v>RS</v>
      </c>
      <c r="E20" s="51" t="str">
        <f t="shared" si="0"/>
        <v>GY-Sek. I</v>
      </c>
      <c r="F20" s="51" t="str">
        <f t="shared" si="0"/>
        <v>GY-Sek. II</v>
      </c>
      <c r="G20" s="51">
        <f t="shared" si="0"/>
      </c>
      <c r="H20" s="51">
        <f t="shared" si="0"/>
      </c>
      <c r="I20" s="85"/>
    </row>
    <row r="21" spans="1:9" ht="11.25">
      <c r="A21" s="35" t="str">
        <f>IF(SF=1,"","Schülerzahlen (Stichtag September)")</f>
        <v>Schülerzahlen (Stichtag September)</v>
      </c>
      <c r="B21" s="44">
        <v>100</v>
      </c>
      <c r="C21" s="44"/>
      <c r="D21" s="44"/>
      <c r="E21" s="44"/>
      <c r="F21" s="44"/>
      <c r="G21" s="44"/>
      <c r="H21" s="44"/>
      <c r="I21" s="85"/>
    </row>
    <row r="22" spans="1:9" ht="11.25">
      <c r="A22" s="35" t="str">
        <f>IF(SF=1,"","Unterrichtsstunden Lehrkräfte")</f>
        <v>Unterrichtsstunden Lehrkräfte</v>
      </c>
      <c r="B22" s="44">
        <v>150</v>
      </c>
      <c r="C22" s="44"/>
      <c r="D22" s="44"/>
      <c r="E22" s="44"/>
      <c r="F22" s="44"/>
      <c r="G22" s="44"/>
      <c r="H22" s="44"/>
      <c r="I22" s="85"/>
    </row>
    <row r="23" spans="1:9" ht="11.25">
      <c r="A23" s="34">
        <f>IF(OR(SF=5,SF=7),"Stunden der Päd. Mitarbeiter","")</f>
      </c>
      <c r="B23" s="44"/>
      <c r="C23" s="44"/>
      <c r="D23" s="44"/>
      <c r="E23" s="44"/>
      <c r="F23" s="44"/>
      <c r="G23" s="44"/>
      <c r="H23" s="44"/>
      <c r="I23" s="85"/>
    </row>
    <row r="24" spans="1:9" ht="16.5" customHeight="1">
      <c r="A24" s="45" t="str">
        <f>IF(SF=1,"","4.  Auswertung Ihrer Daten")</f>
        <v>4.  Auswertung Ihrer Daten</v>
      </c>
      <c r="B24" s="35"/>
      <c r="C24" s="35"/>
      <c r="D24" s="35"/>
      <c r="E24" s="35"/>
      <c r="F24" s="35"/>
      <c r="G24" s="35"/>
      <c r="H24" s="35"/>
      <c r="I24" s="85"/>
    </row>
    <row r="25" spans="1:9" ht="11.25">
      <c r="A25" s="35" t="str">
        <f>IF(SF=1,"",IF(OR(SF=5,SF=7),"4.1. Schülerstunden","Schülerstunden"))</f>
        <v>Schülerstunden</v>
      </c>
      <c r="B25" s="35"/>
      <c r="C25" s="35"/>
      <c r="D25" s="35"/>
      <c r="E25" s="35"/>
      <c r="F25" s="35"/>
      <c r="G25" s="35"/>
      <c r="H25" s="35"/>
      <c r="I25" s="85"/>
    </row>
    <row r="26" spans="1:9" ht="11.25">
      <c r="A26" s="34" t="str">
        <f>IF(SF=1,"",IF(OR(SF=5,SF=7),"a) der Lehrkräfte Ihrer Schule","       der Lehrkräfte Ihrer Schule"))</f>
        <v>       der Lehrkräfte Ihrer Schule</v>
      </c>
      <c r="B26" s="50">
        <f>IF(OR(SF=1,B8="",B21="",B22=""),"",IF(B21&gt;0,B22/B21,0))</f>
        <v>1.5</v>
      </c>
      <c r="C26" s="50">
        <f aca="true" t="shared" si="1" ref="C26:H26">IF(OR(SF=1,C8="",C21="",C22=""),"",IF(C21&gt;0,C22/C21,0))</f>
      </c>
      <c r="D26" s="50">
        <f t="shared" si="1"/>
      </c>
      <c r="E26" s="50">
        <f t="shared" si="1"/>
      </c>
      <c r="F26" s="50">
        <f t="shared" si="1"/>
      </c>
      <c r="G26" s="50">
        <f>IF(OR(SF=1,G8="",G21="",G22=""),"",IF(G21&gt;0,G22/G21,0))</f>
      </c>
      <c r="H26" s="50">
        <f t="shared" si="1"/>
      </c>
      <c r="I26" s="88"/>
    </row>
    <row r="27" spans="1:9" ht="11.25">
      <c r="A27" s="2" t="str">
        <f>IF(SF=1,"","   +/- Std. im Vergleich zum Verh. an öffentl. Sch.")</f>
        <v>   +/- Std. im Vergleich zum Verh. an öffentl. Sch.</v>
      </c>
      <c r="B27" s="56">
        <f aca="true" t="shared" si="2" ref="B27:H27">IF(OR(SF=1,B22="",B8=""),"",B22-B12*B21)</f>
        <v>19</v>
      </c>
      <c r="C27" s="56">
        <f t="shared" si="2"/>
      </c>
      <c r="D27" s="56">
        <f t="shared" si="2"/>
      </c>
      <c r="E27" s="56">
        <f t="shared" si="2"/>
      </c>
      <c r="F27" s="56">
        <f t="shared" si="2"/>
      </c>
      <c r="G27" s="56">
        <f t="shared" si="2"/>
      </c>
      <c r="H27" s="56">
        <f t="shared" si="2"/>
      </c>
      <c r="I27" s="85"/>
    </row>
    <row r="28" spans="1:9" ht="11.25">
      <c r="A28" s="34">
        <f>IF(OR(SF=5,SF=7),"b) der Päd. Mitarbeiter Ihrer Schule","")</f>
      </c>
      <c r="B28" s="50"/>
      <c r="C28" s="50">
        <f>IF(OR(SF&lt;7,C8="",C21="",C23=""),"",IF(C21&gt;0,C23/C21,0))</f>
      </c>
      <c r="D28" s="50">
        <f>IF(OR(SF&lt;7,D8="",D21="",D23=""),"",IF(D21&gt;0,D23/D21,0))</f>
      </c>
      <c r="E28" s="50">
        <f>IF(OR(SF&lt;7,E8="",E21="",E23=""),"",IF(E21&gt;0,E23/E21,0))</f>
      </c>
      <c r="F28" s="50">
        <f>IF(OR(SF&lt;5,SF=6,F8="",F21="",F23=""),"",IF(F21&gt;0,F23/F21,0))</f>
      </c>
      <c r="G28" s="50">
        <f>IF(OR(SF&lt;5,SF=6,G8="",G21="",G23=""),"",IF(G21&gt;0,G23/G21,0))</f>
      </c>
      <c r="H28" s="50">
        <f>IF(OR(SF&lt;5,SF&gt;5,H8="",H21="",H23=""),"",IF(SF=5,IF(H21&gt;0,H23/H21,0),""))</f>
      </c>
      <c r="I28" s="85"/>
    </row>
    <row r="29" spans="1:9" ht="11.25">
      <c r="A29" s="34">
        <f>IF(OR(SF=5,SF=7),"   +/- PM-Std im Vergl. zum Verh. an öffentl. Schulen","")</f>
      </c>
      <c r="B29" s="50">
        <f>IF(OR(SF&lt;7,B21="",B28=""),"",B23-B16*B21)</f>
      </c>
      <c r="C29" s="50">
        <f>IF(OR(SF&lt;7,C21="",C28=""),"",C23-C16*C21)</f>
      </c>
      <c r="D29" s="50">
        <f>IF(OR(SF&lt;7,D21="",D28=""),"",D23-D16*D21)</f>
      </c>
      <c r="E29" s="50">
        <f>IF(OR(SF&lt;7,E21="",E28=""),"",E23-E16*E21)</f>
      </c>
      <c r="F29" s="50">
        <f>IF(OR(SF&lt;5,SF=6,F21="",F28=""),"",F23-F16*F21)</f>
      </c>
      <c r="G29" s="50">
        <f>IF(OR(SF&lt;5,SF=6,G21="",G28=""),"",G23-G16*G21)</f>
      </c>
      <c r="H29" s="50">
        <f>IF(OR(SF&lt;5,SF&gt;5,H21="",H28=""),"",H23-H16*H21)</f>
      </c>
      <c r="I29" s="85"/>
    </row>
    <row r="30" spans="1:9" ht="12.75" customHeight="1">
      <c r="A30" s="34"/>
      <c r="B30" s="50"/>
      <c r="C30" s="50"/>
      <c r="D30" s="50"/>
      <c r="E30" s="50"/>
      <c r="F30" s="50"/>
      <c r="G30" s="50"/>
      <c r="H30" s="50"/>
      <c r="I30" s="85"/>
    </row>
    <row r="31" spans="1:9" ht="16.5" customHeight="1">
      <c r="A31" s="36" t="str">
        <f>IF(SF=1,"","5.  Schülerbeträge an Ihrer Schule")</f>
        <v>5.  Schülerbeträge an Ihrer Schule</v>
      </c>
      <c r="B31" s="42">
        <f>IF(OR(SF=1,B26=""),"",B32)</f>
        <v>2778.585</v>
      </c>
      <c r="C31" s="42">
        <f>IF(OR(SF=1,C26=""),"",IF(SF=7,C32+C33,C32))</f>
      </c>
      <c r="D31" s="42">
        <f>IF(OR(SF=1,D26=""),"",IF(SF=7,D32+D33,D32))</f>
      </c>
      <c r="E31" s="42">
        <f>IF(OR(SF=1,E26=""),"",IF(SF=7,E32+E33,E32))</f>
      </c>
      <c r="F31" s="42">
        <f>IF(OR(SF=1,F26=""),"",IF(OR(SF=5,SF=7),F32+F33,F32))</f>
      </c>
      <c r="G31" s="42">
        <f>IF(OR(SF=1,G26=""),"",IF(OR(SF=5,SF=7),G32+G33,G32))</f>
      </c>
      <c r="H31" s="42">
        <f>IF(OR(SF=1,H26=""),"",IF(SF=5,H32+H33,H32))</f>
      </c>
      <c r="I31" s="85"/>
    </row>
    <row r="32" spans="1:9" ht="11.25">
      <c r="A32" s="35">
        <f>IF(OR(SF=5,SF=7),"a) ggf. davon Teilbetrag Lehrkräfte","")</f>
      </c>
      <c r="B32" s="42">
        <f>IF(OR(SF=1,B21="",B22=""),"",IF(OR(SF=2,SF=4,SF=5,SF=6),B26*StSGS,IF(SF=3,B26*STSObS,IF(SF=7,B26*STSFS))))</f>
        <v>2778.585</v>
      </c>
      <c r="C32" s="42">
        <f>IF(OR(SF=1,SF=3,C21="",C22=""),"",IF(SF=2,C26*STSHS,IF(OR(SF=4,SF=5,SF=6),C26*STSGY,IF(SF=7,C26*STSFS))))</f>
      </c>
      <c r="D32" s="42">
        <f>IF(OR(SF=1,SF=3,D21="",D22=""),"",IF(SF=2,D26*STSRS,IF(OR(SF=4,SF=5,SF=6),D26*STSGY,IF(SF=7,D26*STSFS))))</f>
      </c>
      <c r="E32" s="42">
        <f>IF(OR(SF=1,SF=3,SF=4,SF=6,E21="",E22=""),"",IF(SF=2,E26*STSGY,IF(OR(SF=5,SF=7),E26*STSFS)))</f>
      </c>
      <c r="F32" s="42">
        <f>IF(OR(SF=1,SF=3,SF=4,SF=6,F21="",F22=""),"",IF(SF=2,F26*STSGY,IF(OR(SF=5,SF=7),F26*STSFS)))</f>
      </c>
      <c r="G32" s="42">
        <f>IF(OR(SF=1,SF=2,SF=3,SF=4,SF=6,G21="",G22=""),"",IF(OR(SF=5,SF=7),G26*STSFS))</f>
      </c>
      <c r="H32" s="42">
        <f>IF(OR(SF=1,SF=2,SF=3,SF=4,SF=6,H21="",H22=""),"",IF(OR(SF=5,SF=7),H26*STSFS))</f>
      </c>
      <c r="I32" s="85"/>
    </row>
    <row r="33" spans="1:9" ht="11.25">
      <c r="A33" s="35">
        <f>IF(OR(SF=5,SF=7),"b) und Teilbetrag Pädagogische Mitarbeiter","")</f>
      </c>
      <c r="B33" s="42">
        <f>IF(OR(SF=1,SF=2,SF=3,SF=4,SF=5,SF=6),"",IF(SF=7,"keine PM in 'L'"))</f>
      </c>
      <c r="C33" s="42">
        <f>IF(OR(SF=1,SF=2,SF=3,SF=4,SF=5,SF=6),"",IF(C23="",0,IF(SF=7,C28*STSPM)))</f>
      </c>
      <c r="D33" s="42">
        <f>IF(OR(SF=1,SF=2,SF=3,SF=4,SF=5,SF=6),"",IF(D23="",0,IF(SF=7,D28*STSPM)))</f>
      </c>
      <c r="E33" s="42">
        <f>IF(OR(SF&lt;5,SF=6),"",IF(SF=5,"keine PM in 'L'",IF(OR(E21="",E22="",E23=""),0,IF(SF=7,E28*STSPM))))</f>
      </c>
      <c r="F33" s="42">
        <f>IF(OR(SF=1,SF=2,SF=3,SF=4,SF=6),"",IF(OR(F21="",F22="",F23=""),0,IF(OR(SF=5,SF=7),F28*STSPM)))</f>
      </c>
      <c r="G33" s="42">
        <f>IF(OR(SF=1,SF=2,SF=3,SF=4,SF=6),"",IF(OR(G21="",G22="",G23=""),0,IF(OR(SF=5,SF=7),G28*STSPM)))</f>
      </c>
      <c r="H33" s="42">
        <f>IF(OR(SF=1,SF=2,SF=3,SF=4,SF=6),"",IF(SF=7,"keine PM in 'HÖ'",IF(H23="",0,IF(SF=5,H28*STSPM,))))</f>
      </c>
      <c r="I33" s="85"/>
    </row>
    <row r="34" spans="1:9" ht="11.25">
      <c r="A34" s="4" t="str">
        <f>IF(SF=1,"","6.  Festzusetzen als Schülerbetrag wäre")</f>
        <v>6.  Festzusetzen als Schülerbetrag wäre</v>
      </c>
      <c r="B34" s="42">
        <f aca="true" t="shared" si="3" ref="B34:H34">IF(AND(B21&gt;0,B22&gt;0),IF(B31&lt;B9,B31,B9),"")</f>
        <v>2426.6309</v>
      </c>
      <c r="C34" s="42">
        <f t="shared" si="3"/>
      </c>
      <c r="D34" s="42">
        <f t="shared" si="3"/>
      </c>
      <c r="E34" s="42">
        <f t="shared" si="3"/>
      </c>
      <c r="F34" s="42">
        <f t="shared" si="3"/>
      </c>
      <c r="G34" s="42">
        <f t="shared" si="3"/>
      </c>
      <c r="H34" s="42">
        <f t="shared" si="3"/>
      </c>
      <c r="I34" s="85"/>
    </row>
    <row r="35" spans="1:9" ht="11.25">
      <c r="A35" s="4" t="str">
        <f>IF(SF=1,"","7.  Grundbetrag je Gliederung")</f>
        <v>7.  Grundbetrag je Gliederung</v>
      </c>
      <c r="B35" s="42">
        <f>IF(SF=1,"",IF(AND(B21&gt;0,B22&gt;0),B34*B21,""))</f>
        <v>242663.09000000003</v>
      </c>
      <c r="C35" s="42">
        <f>IF(OR(SF=1,SF=3),"",IF(AND(C21&gt;0,C22&gt;0),C34*C21,""))</f>
      </c>
      <c r="D35" s="42">
        <f>IF(OR(SF=1,SF=3),"",IF(AND(D21&gt;0,D22&gt;0),D34*D21,""))</f>
      </c>
      <c r="E35" s="42">
        <f>IF(OR(SF=2,SF=5,SF=7),IF(AND(E21&gt;0,E22&gt;0),E34*E21,""),"")</f>
      </c>
      <c r="F35" s="42">
        <f>IF(OR(SF=2,SF=5,SF=7),IF(AND(F21&gt;0,F22&gt;0),F34*F21,""),"")</f>
      </c>
      <c r="G35" s="42">
        <f>IF(OR(SF=5,SF=7),IF(AND(G21&gt;0,G22&gt;0),G34*G21,""),"")</f>
      </c>
      <c r="H35" s="42">
        <f>IF(OR(SF=5,SF=7),IF(AND(H21&gt;0,H22&gt;0),H34*H21,""),"")</f>
      </c>
      <c r="I35" s="85"/>
    </row>
    <row r="36" spans="1:8" ht="12" customHeight="1">
      <c r="A36" s="4" t="str">
        <f>IF(SF&gt;1,"8.  Summe Grundbetrag für alle Gliederungen","")</f>
        <v>8.  Summe Grundbetrag für alle Gliederungen</v>
      </c>
      <c r="B36" s="89">
        <f>IF(SF&gt;1,SUM(B35:H35),"")</f>
        <v>242663.09000000003</v>
      </c>
      <c r="C36" s="34"/>
      <c r="D36" s="34"/>
      <c r="E36" s="34"/>
      <c r="F36" s="34"/>
      <c r="G36" s="34"/>
      <c r="H36" s="34"/>
    </row>
    <row r="37" spans="1:8" ht="11.25" customHeight="1">
      <c r="A37" s="4" t="str">
        <f>IF(SF&gt;1,"9.  Maximaler Erhöhungsbetrag","")</f>
        <v>9.  Maximaler Erhöhungsbetrag</v>
      </c>
      <c r="B37" s="89">
        <f>IF(SF=1,"",IF(SF=6,0,SUM(B35:H35)*0.8*SuSatzSozVers/100))</f>
        <v>50813.651046</v>
      </c>
      <c r="C37" s="49">
        <f>IF(SF=6,"Die Träger anerkannter Ergänzungsschulen erhalten keinen Erhöhungsbetrag nach § 150 Abs. 8 NSchG","")</f>
      </c>
      <c r="D37" s="49"/>
      <c r="E37" s="49"/>
      <c r="F37" s="49"/>
      <c r="G37" s="49"/>
      <c r="H37" s="49"/>
    </row>
    <row r="38" spans="1:8" ht="11.25">
      <c r="A38" s="4" t="str">
        <f>IF(SF&gt;1,"10. Maximale Finanzhilfe","")</f>
        <v>10. Maximale Finanzhilfe</v>
      </c>
      <c r="B38" s="89">
        <f>IF(SF=1,"",IF(SF=6,SUM(B35:H35),SUM(B35:H35)+SUM(B35:H35)*0.8*SuSatzSozVers/100))</f>
        <v>293476.74104600004</v>
      </c>
      <c r="C38" s="49"/>
      <c r="D38" s="49"/>
      <c r="E38" s="49"/>
      <c r="F38" s="49"/>
      <c r="G38" s="49"/>
      <c r="H38" s="49"/>
    </row>
    <row r="39" ht="1.5" customHeight="1">
      <c r="E39" s="3"/>
    </row>
    <row r="40" spans="1:5" ht="11.25">
      <c r="A40" s="55" t="str">
        <f>IF(SF&gt;1,"Wichtige Hinweise: Diese Prognose beruht auf den für das Sj. 2012/13 maßgeblichen Vorschriften (Stand 01.08.2012).","")</f>
        <v>Wichtige Hinweise: Diese Prognose beruht auf den für das Sj. 2012/13 maßgeblichen Vorschriften (Stand 01.08.2012).</v>
      </c>
      <c r="E40" s="3"/>
    </row>
    <row r="41" spans="1:8" ht="11.25">
      <c r="A41" s="98" t="str">
        <f>IF(SF&gt;1,"Dieses Formular dient allein der Prognose der voraussichtlichen Finanzhilfe. Die tatsächliche Höhe wird ausschließlich durch die Abrechnung festgesetzt.","")</f>
        <v>Dieses Formular dient allein der Prognose der voraussichtlichen Finanzhilfe. Die tatsächliche Höhe wird ausschließlich durch die Abrechnung festgesetzt.</v>
      </c>
      <c r="B41" s="98"/>
      <c r="C41" s="98"/>
      <c r="D41" s="98"/>
      <c r="E41" s="98"/>
      <c r="F41" s="98"/>
      <c r="G41" s="98"/>
      <c r="H41" s="98"/>
    </row>
    <row r="42" spans="1:8" ht="11.25">
      <c r="A42" s="100" t="str">
        <f>IF(SF&gt;1,"Zu 2.:          Dargestellt sind die für die Berechnung der Finanzhilfe maßgeblichen Ausgangswerte nach den Verhältnissen an öffentlichen Schulen.","")</f>
        <v>Zu 2.:          Dargestellt sind die für die Berechnung der Finanzhilfe maßgeblichen Ausgangswerte nach den Verhältnissen an öffentlichen Schulen.</v>
      </c>
      <c r="B42" s="100"/>
      <c r="C42" s="100"/>
      <c r="D42" s="100"/>
      <c r="E42" s="100"/>
      <c r="F42" s="100"/>
      <c r="G42" s="100"/>
      <c r="H42" s="100"/>
    </row>
    <row r="43" spans="1:9" ht="12" customHeight="1">
      <c r="A43" s="98" t="str">
        <f>IF(SF&gt;1,"Zu 4.:          Stunden je Schüler Ihrer Schule und Abweichung (der Gesamtstunden) von den maximal finanzierbaren nach den Verhältnissen an den entsprechenden öffentlichen Schulen.","")</f>
        <v>Zu 4.:          Stunden je Schüler Ihrer Schule und Abweichung (der Gesamtstunden) von den maximal finanzierbaren nach den Verhältnissen an den entsprechenden öffentlichen Schulen.</v>
      </c>
      <c r="B43" s="98"/>
      <c r="C43" s="98"/>
      <c r="D43" s="98"/>
      <c r="E43" s="98"/>
      <c r="F43" s="98"/>
      <c r="G43" s="98"/>
      <c r="H43" s="98"/>
      <c r="I43" s="98"/>
    </row>
    <row r="44" spans="1:8" ht="11.25">
      <c r="A44" s="100" t="str">
        <f>IF(SF&gt;1,"Zu 6.:          Maßgeblicher Schülerbetrag nach dem Vergleich zwischen den Verhältnissen an öffentlichen Schulen und den Verhältnissen an Ihrer Schule.","")</f>
        <v>Zu 6.:          Maßgeblicher Schülerbetrag nach dem Vergleich zwischen den Verhältnissen an öffentlichen Schulen und den Verhältnissen an Ihrer Schule.</v>
      </c>
      <c r="B44" s="100"/>
      <c r="C44" s="100"/>
      <c r="D44" s="100"/>
      <c r="E44" s="100"/>
      <c r="F44" s="100"/>
      <c r="G44" s="100"/>
      <c r="H44" s="100"/>
    </row>
    <row r="45" spans="1:8" ht="22.5" customHeight="1">
      <c r="A45" s="98" t="str">
        <f>IF(SF&gt;1,"Zu 7.:          Prognose zum Grundbetrag für jede Gliederung, wie sie sich aus den Schülerbeträgen und Ihren Schülerzahlen ergibt.
                    Maßgeblich für die tatsächliche Höhe wird aber der Mittelwert der Schülerzahlen (15.11. u. 15.03.) sein.","")</f>
        <v>Zu 7.:          Prognose zum Grundbetrag für jede Gliederung, wie sie sich aus den Schülerbeträgen und Ihren Schülerzahlen ergibt.
                    Maßgeblich für die tatsächliche Höhe wird aber der Mittelwert der Schülerzahlen (15.11. u. 15.03.) sein.</v>
      </c>
      <c r="B45" s="98"/>
      <c r="C45" s="98"/>
      <c r="D45" s="98"/>
      <c r="E45" s="98"/>
      <c r="F45" s="98"/>
      <c r="G45" s="98"/>
      <c r="H45" s="98"/>
    </row>
    <row r="46" spans="1:8" ht="11.25">
      <c r="A46" s="100" t="str">
        <f>IF(SF&gt;1,"Zu 8.:          Die sich aus den Beträgen unter 7. ergebende Summe des Grundbetrages für alle an Ihrer Schule geführten Gliederungen.","")</f>
        <v>Zu 8.:          Die sich aus den Beträgen unter 7. ergebende Summe des Grundbetrages für alle an Ihrer Schule geführten Gliederungen.</v>
      </c>
      <c r="B46" s="100"/>
      <c r="C46" s="100"/>
      <c r="D46" s="100"/>
      <c r="E46" s="100"/>
      <c r="F46" s="100"/>
      <c r="G46" s="100"/>
      <c r="H46" s="100"/>
    </row>
    <row r="47" spans="1:9" ht="12" customHeight="1">
      <c r="A47" s="98" t="str">
        <f>IF(SF&gt;1,"Zu 9. u.10.: Maximal mögliche Beträge, die sich ergeben würden, wenn Sie den Erhöhungsbetrag für die soziale Sicherung des  Lehr- und ggf. des Zusatzpersonals voll ausschöpfen.","")</f>
        <v>Zu 9. u.10.: Maximal mögliche Beträge, die sich ergeben würden, wenn Sie den Erhöhungsbetrag für die soziale Sicherung des  Lehr- und ggf. des Zusatzpersonals voll ausschöpfen.</v>
      </c>
      <c r="B47" s="98"/>
      <c r="C47" s="98"/>
      <c r="D47" s="98"/>
      <c r="E47" s="98"/>
      <c r="F47" s="98"/>
      <c r="G47" s="98"/>
      <c r="H47" s="98"/>
      <c r="I47" s="98"/>
    </row>
    <row r="48" ht="11.25">
      <c r="A48" s="68"/>
    </row>
  </sheetData>
  <sheetProtection password="E7DE" sheet="1" objects="1" scenarios="1" selectLockedCells="1"/>
  <mergeCells count="11">
    <mergeCell ref="A47:I47"/>
    <mergeCell ref="A45:H45"/>
    <mergeCell ref="A46:H46"/>
    <mergeCell ref="A42:H42"/>
    <mergeCell ref="A44:H44"/>
    <mergeCell ref="A43:I43"/>
    <mergeCell ref="A18:H18"/>
    <mergeCell ref="A2:H2"/>
    <mergeCell ref="A3:H3"/>
    <mergeCell ref="A41:H41"/>
    <mergeCell ref="A4:C4"/>
  </mergeCells>
  <conditionalFormatting sqref="B21:B22">
    <cfRule type="expression" priority="1" dxfId="0" stopIfTrue="1">
      <formula>SF&gt;1</formula>
    </cfRule>
  </conditionalFormatting>
  <conditionalFormatting sqref="B8:B9 A9 B26 A21:A22 A27:B27 A35:B38 A11:B12 A31">
    <cfRule type="expression" priority="2" dxfId="1" stopIfTrue="1">
      <formula>SF&gt;1</formula>
    </cfRule>
  </conditionalFormatting>
  <conditionalFormatting sqref="A25">
    <cfRule type="expression" priority="3" dxfId="2" stopIfTrue="1">
      <formula>SF&gt;1</formula>
    </cfRule>
  </conditionalFormatting>
  <conditionalFormatting sqref="A26">
    <cfRule type="expression" priority="4" dxfId="1" stopIfTrue="1">
      <formula>OR(SF=4,SF=6)</formula>
    </cfRule>
    <cfRule type="expression" priority="5" dxfId="3" stopIfTrue="1">
      <formula>OR(SF=2,SF=3,SF=5)</formula>
    </cfRule>
  </conditionalFormatting>
  <conditionalFormatting sqref="E8:F9 E11:F12 E26:F27 E31:F31 E34:F35">
    <cfRule type="expression" priority="6" dxfId="1" stopIfTrue="1">
      <formula>OR(SF=2,SF=5,SF=7)</formula>
    </cfRule>
  </conditionalFormatting>
  <conditionalFormatting sqref="G8:H9 A15:A17 E15:E16 F15:H17 A13:H13 G11:H12 A23 G26:H27 G34:H35 A28:A29 F28:G29 G31:H32 A32:A33">
    <cfRule type="expression" priority="7" dxfId="1" stopIfTrue="1">
      <formula>OR(SF=5,SF=7)</formula>
    </cfRule>
  </conditionalFormatting>
  <conditionalFormatting sqref="C8:D9 C11:D12 C26:D27 C31:D31 C34:D35">
    <cfRule type="expression" priority="8" dxfId="1" stopIfTrue="1">
      <formula>OR(SF=2,SF&gt;3)</formula>
    </cfRule>
  </conditionalFormatting>
  <conditionalFormatting sqref="C21:D22">
    <cfRule type="expression" priority="9" dxfId="0" stopIfTrue="1">
      <formula>OR(SF=2,SF&gt;3)</formula>
    </cfRule>
  </conditionalFormatting>
  <conditionalFormatting sqref="B15:C17 D17:E17 C28:E29">
    <cfRule type="expression" priority="10" dxfId="1" stopIfTrue="1">
      <formula>SF=7</formula>
    </cfRule>
    <cfRule type="expression" priority="11" dxfId="4" stopIfTrue="1">
      <formula>SF=5</formula>
    </cfRule>
  </conditionalFormatting>
  <conditionalFormatting sqref="D15:D16">
    <cfRule type="expression" priority="12" dxfId="1" stopIfTrue="1">
      <formula>SF=7</formula>
    </cfRule>
    <cfRule type="expression" priority="13" dxfId="5" stopIfTrue="1">
      <formula>SF=5</formula>
    </cfRule>
  </conditionalFormatting>
  <conditionalFormatting sqref="E21:F22">
    <cfRule type="expression" priority="14" dxfId="0" stopIfTrue="1">
      <formula>OR(SF=2,SF=5,SF=7)</formula>
    </cfRule>
  </conditionalFormatting>
  <conditionalFormatting sqref="G21:H22 F23:G23">
    <cfRule type="expression" priority="15" dxfId="0" stopIfTrue="1">
      <formula>OR(SF=5,SF=7)</formula>
    </cfRule>
  </conditionalFormatting>
  <conditionalFormatting sqref="H23">
    <cfRule type="expression" priority="16" dxfId="0" stopIfTrue="1">
      <formula>SF=5</formula>
    </cfRule>
    <cfRule type="expression" priority="17" dxfId="6" stopIfTrue="1">
      <formula>SF=7</formula>
    </cfRule>
  </conditionalFormatting>
  <conditionalFormatting sqref="C23:E23">
    <cfRule type="expression" priority="18" dxfId="0" stopIfTrue="1">
      <formula>SF=7</formula>
    </cfRule>
    <cfRule type="expression" priority="19" dxfId="4" stopIfTrue="1">
      <formula>SF=5</formula>
    </cfRule>
  </conditionalFormatting>
  <conditionalFormatting sqref="B23 B28:B29">
    <cfRule type="expression" priority="20" dxfId="7" stopIfTrue="1">
      <formula>OR(SF=5,SF=7)</formula>
    </cfRule>
  </conditionalFormatting>
  <conditionalFormatting sqref="H28:H29">
    <cfRule type="expression" priority="21" dxfId="1" stopIfTrue="1">
      <formula>SF=5</formula>
    </cfRule>
    <cfRule type="expression" priority="22" dxfId="6" stopIfTrue="1">
      <formula>SF=7</formula>
    </cfRule>
  </conditionalFormatting>
  <conditionalFormatting sqref="E33">
    <cfRule type="expression" priority="23" dxfId="8" stopIfTrue="1">
      <formula>AND(E21="",SF=7)</formula>
    </cfRule>
  </conditionalFormatting>
  <conditionalFormatting sqref="B32:E32">
    <cfRule type="expression" priority="24" dxfId="1" stopIfTrue="1">
      <formula>OR(SF=5,SF=7)</formula>
    </cfRule>
    <cfRule type="expression" priority="25" dxfId="9" stopIfTrue="1">
      <formula>OR(SF=2,SF=3,SF=4,SF=6)</formula>
    </cfRule>
  </conditionalFormatting>
  <conditionalFormatting sqref="F32">
    <cfRule type="expression" priority="26" dxfId="1" stopIfTrue="1">
      <formula>OR(SF=5,SF=7)</formula>
    </cfRule>
    <cfRule type="expression" priority="27" dxfId="10" stopIfTrue="1">
      <formula>OR(SF=2,SF=3,SF=4,SF=6)</formula>
    </cfRule>
  </conditionalFormatting>
  <conditionalFormatting sqref="F33">
    <cfRule type="expression" priority="28" dxfId="8" stopIfTrue="1">
      <formula>AND($F$21="",OR(SF=5,SF=7))</formula>
    </cfRule>
  </conditionalFormatting>
  <conditionalFormatting sqref="G33">
    <cfRule type="expression" priority="29" dxfId="8" stopIfTrue="1">
      <formula>AND($G$21="",OR(SF=5,SF=7))</formula>
    </cfRule>
  </conditionalFormatting>
  <conditionalFormatting sqref="H33">
    <cfRule type="expression" priority="30" dxfId="8" stopIfTrue="1">
      <formula>AND($H$21="",SF=5)</formula>
    </cfRule>
    <cfRule type="expression" priority="31" dxfId="1" stopIfTrue="1">
      <formula>OR(SF=5,SF=7)</formula>
    </cfRule>
  </conditionalFormatting>
  <conditionalFormatting sqref="C33:D33">
    <cfRule type="expression" priority="32" dxfId="6" stopIfTrue="1">
      <formula>SF=5</formula>
    </cfRule>
    <cfRule type="expression" priority="33" dxfId="8" stopIfTrue="1">
      <formula>AND(C21="",SF=7)</formula>
    </cfRule>
  </conditionalFormatting>
  <conditionalFormatting sqref="B33">
    <cfRule type="expression" priority="34" dxfId="6" stopIfTrue="1">
      <formula>SF=5</formula>
    </cfRule>
    <cfRule type="expression" priority="35" dxfId="1" stopIfTrue="1">
      <formula>SF=7</formula>
    </cfRule>
  </conditionalFormatting>
  <conditionalFormatting sqref="B31 A34:B34">
    <cfRule type="expression" priority="36" dxfId="1" stopIfTrue="1">
      <formula>SF&gt;1</formula>
    </cfRule>
  </conditionalFormatting>
  <printOptions/>
  <pageMargins left="0.75" right="0.75" top="0.27" bottom="0.23" header="0.21" footer="0.16"/>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I42"/>
  <sheetViews>
    <sheetView tabSelected="1" workbookViewId="0" topLeftCell="A4">
      <selection activeCell="F11" sqref="F11"/>
    </sheetView>
  </sheetViews>
  <sheetFormatPr defaultColWidth="11.421875" defaultRowHeight="12.75"/>
  <cols>
    <col min="1" max="1" width="3.140625" style="63" customWidth="1"/>
    <col min="2" max="2" width="14.7109375" style="63" customWidth="1"/>
    <col min="3" max="3" width="17.28125" style="63" customWidth="1"/>
    <col min="4" max="4" width="12.57421875" style="63" customWidth="1"/>
    <col min="5" max="5" width="14.28125" style="63" customWidth="1"/>
    <col min="6" max="6" width="7.421875" style="63" customWidth="1"/>
    <col min="7" max="7" width="19.00390625" style="63" customWidth="1"/>
    <col min="8" max="16384" width="11.421875" style="63" customWidth="1"/>
  </cols>
  <sheetData>
    <row r="1" spans="1:7" ht="12.75">
      <c r="A1" s="62" t="s">
        <v>64</v>
      </c>
      <c r="G1" s="93" t="s">
        <v>74</v>
      </c>
    </row>
    <row r="2" spans="4:7" ht="12.75">
      <c r="D2" s="75"/>
      <c r="G2" s="79" t="str">
        <f>Version</f>
        <v>Version 2011/12.endg.</v>
      </c>
    </row>
    <row r="3" spans="1:7" ht="24.75" customHeight="1">
      <c r="A3" s="101" t="s">
        <v>76</v>
      </c>
      <c r="B3" s="101"/>
      <c r="C3" s="101"/>
      <c r="D3" s="101"/>
      <c r="E3" s="101"/>
      <c r="F3" s="101"/>
      <c r="G3" s="101"/>
    </row>
    <row r="5" spans="1:6" ht="12.75">
      <c r="A5" s="64" t="s">
        <v>37</v>
      </c>
      <c r="B5" s="64" t="s">
        <v>66</v>
      </c>
      <c r="C5" s="64"/>
      <c r="D5" s="64"/>
      <c r="E5" s="64"/>
      <c r="F5" s="64"/>
    </row>
    <row r="6" ht="12.75">
      <c r="B6" s="2" t="s">
        <v>75</v>
      </c>
    </row>
    <row r="7" ht="12.75">
      <c r="B7" s="63" t="s">
        <v>30</v>
      </c>
    </row>
    <row r="8" spans="2:5" ht="12.75">
      <c r="B8" s="63" t="s">
        <v>31</v>
      </c>
      <c r="D8" s="65">
        <v>1852.39</v>
      </c>
      <c r="E8" s="65"/>
    </row>
    <row r="9" spans="2:5" ht="12.75">
      <c r="B9" s="63" t="s">
        <v>32</v>
      </c>
      <c r="D9" s="65">
        <v>1887.66</v>
      </c>
      <c r="E9" s="65"/>
    </row>
    <row r="10" spans="2:5" ht="12.75">
      <c r="B10" s="63" t="s">
        <v>33</v>
      </c>
      <c r="D10" s="65">
        <v>2215.14</v>
      </c>
      <c r="E10" s="65"/>
    </row>
    <row r="11" spans="2:5" ht="12.75">
      <c r="B11" s="63" t="s">
        <v>71</v>
      </c>
      <c r="D11" s="91">
        <v>2169.94</v>
      </c>
      <c r="E11" s="65"/>
    </row>
    <row r="12" spans="2:9" ht="12.75">
      <c r="B12" s="63" t="s">
        <v>34</v>
      </c>
      <c r="D12" s="65">
        <v>2616.49</v>
      </c>
      <c r="E12" s="65"/>
      <c r="I12" s="77"/>
    </row>
    <row r="13" spans="2:9" ht="12.75">
      <c r="B13" s="63" t="s">
        <v>35</v>
      </c>
      <c r="D13" s="65">
        <v>2176.55</v>
      </c>
      <c r="E13" s="65"/>
      <c r="I13" s="78"/>
    </row>
    <row r="14" spans="4:5" ht="12.75">
      <c r="D14" s="65"/>
      <c r="E14" s="65"/>
    </row>
    <row r="15" spans="2:5" ht="12.75">
      <c r="B15" s="63" t="s">
        <v>36</v>
      </c>
      <c r="D15" s="65">
        <v>903.03</v>
      </c>
      <c r="E15" s="65"/>
    </row>
    <row r="17" spans="1:6" ht="12.75">
      <c r="A17" s="64" t="s">
        <v>38</v>
      </c>
      <c r="B17" s="64" t="s">
        <v>67</v>
      </c>
      <c r="C17" s="64"/>
      <c r="D17" s="64"/>
      <c r="E17" s="64"/>
      <c r="F17" s="64"/>
    </row>
    <row r="18" ht="12.75">
      <c r="B18" s="94" t="s">
        <v>78</v>
      </c>
    </row>
    <row r="19" spans="4:5" ht="12.75">
      <c r="D19" s="66" t="s">
        <v>49</v>
      </c>
      <c r="E19" s="66" t="s">
        <v>50</v>
      </c>
    </row>
    <row r="20" spans="2:9" ht="12.75">
      <c r="B20" s="63" t="s">
        <v>31</v>
      </c>
      <c r="D20" s="67">
        <v>1.31</v>
      </c>
      <c r="E20" s="66" t="s">
        <v>51</v>
      </c>
      <c r="I20" s="78"/>
    </row>
    <row r="21" spans="2:9" ht="12.75">
      <c r="B21" s="63" t="s">
        <v>32</v>
      </c>
      <c r="D21" s="67">
        <v>2.08</v>
      </c>
      <c r="E21" s="66" t="s">
        <v>51</v>
      </c>
      <c r="I21" s="78"/>
    </row>
    <row r="22" spans="2:9" ht="12.75">
      <c r="B22" s="63" t="s">
        <v>33</v>
      </c>
      <c r="D22" s="67">
        <v>1.32</v>
      </c>
      <c r="E22" s="66" t="s">
        <v>51</v>
      </c>
      <c r="I22" s="78"/>
    </row>
    <row r="23" spans="2:9" ht="12.75">
      <c r="B23" s="63" t="s">
        <v>71</v>
      </c>
      <c r="D23" s="92">
        <v>1.64</v>
      </c>
      <c r="E23" s="66"/>
      <c r="I23" s="78"/>
    </row>
    <row r="24" spans="2:9" ht="12.75">
      <c r="B24" s="63" t="s">
        <v>47</v>
      </c>
      <c r="D24" s="67">
        <v>1.26</v>
      </c>
      <c r="E24" s="66" t="s">
        <v>51</v>
      </c>
      <c r="I24" s="78"/>
    </row>
    <row r="25" spans="2:5" ht="12.75">
      <c r="B25" s="63" t="s">
        <v>48</v>
      </c>
      <c r="D25" s="67">
        <v>1.8</v>
      </c>
      <c r="E25" s="66" t="s">
        <v>51</v>
      </c>
    </row>
    <row r="26" spans="2:5" ht="12.75">
      <c r="B26" s="63" t="s">
        <v>39</v>
      </c>
      <c r="D26" s="67"/>
      <c r="E26" s="66"/>
    </row>
    <row r="27" spans="2:5" ht="12.75">
      <c r="B27" s="63" t="s">
        <v>40</v>
      </c>
      <c r="D27" s="67">
        <v>2.92</v>
      </c>
      <c r="E27" s="66" t="s">
        <v>51</v>
      </c>
    </row>
    <row r="28" spans="2:5" ht="12.75">
      <c r="B28" s="63" t="s">
        <v>44</v>
      </c>
      <c r="D28" s="67">
        <v>3.85</v>
      </c>
      <c r="E28" s="67">
        <v>1.81</v>
      </c>
    </row>
    <row r="29" spans="2:5" ht="12.75">
      <c r="B29" s="63" t="s">
        <v>41</v>
      </c>
      <c r="D29" s="67">
        <v>2.51</v>
      </c>
      <c r="E29" s="67">
        <v>0.04</v>
      </c>
    </row>
    <row r="30" spans="2:5" ht="12.75">
      <c r="B30" s="63" t="s">
        <v>42</v>
      </c>
      <c r="D30" s="67">
        <v>5.39</v>
      </c>
      <c r="E30" s="67">
        <v>5.46</v>
      </c>
    </row>
    <row r="31" spans="2:5" ht="12.75">
      <c r="B31" s="63" t="s">
        <v>43</v>
      </c>
      <c r="D31" s="67">
        <v>4.34</v>
      </c>
      <c r="E31" s="67">
        <v>3.7</v>
      </c>
    </row>
    <row r="32" spans="2:5" ht="12.75">
      <c r="B32" s="63" t="s">
        <v>45</v>
      </c>
      <c r="D32" s="67">
        <v>6.37</v>
      </c>
      <c r="E32" s="67">
        <v>2.42</v>
      </c>
    </row>
    <row r="33" spans="2:5" ht="12.75">
      <c r="B33" s="63" t="s">
        <v>46</v>
      </c>
      <c r="D33" s="67">
        <v>5.29</v>
      </c>
      <c r="E33" s="66" t="s">
        <v>51</v>
      </c>
    </row>
    <row r="35" spans="1:5" ht="12.75">
      <c r="A35" s="64" t="s">
        <v>52</v>
      </c>
      <c r="B35" s="64" t="s">
        <v>68</v>
      </c>
      <c r="C35" s="64"/>
      <c r="D35" s="64"/>
      <c r="E35" s="64"/>
    </row>
    <row r="36" ht="12.75">
      <c r="B36" s="94" t="s">
        <v>77</v>
      </c>
    </row>
    <row r="37" spans="2:5" ht="12.75">
      <c r="B37" s="63" t="s">
        <v>53</v>
      </c>
      <c r="D37" s="74">
        <v>1.5</v>
      </c>
      <c r="E37" s="69" t="s">
        <v>59</v>
      </c>
    </row>
    <row r="38" spans="2:5" ht="12.75">
      <c r="B38" s="63" t="s">
        <v>54</v>
      </c>
      <c r="D38" s="74">
        <v>7.3</v>
      </c>
      <c r="E38" s="69" t="s">
        <v>63</v>
      </c>
    </row>
    <row r="39" spans="2:5" ht="12.75">
      <c r="B39" s="63" t="s">
        <v>55</v>
      </c>
      <c r="D39" s="74">
        <v>1.025</v>
      </c>
      <c r="E39" s="69" t="s">
        <v>60</v>
      </c>
    </row>
    <row r="40" spans="2:5" ht="12.75">
      <c r="B40" s="63" t="s">
        <v>56</v>
      </c>
      <c r="D40" s="74">
        <v>9.45</v>
      </c>
      <c r="E40" s="69" t="s">
        <v>61</v>
      </c>
    </row>
    <row r="41" spans="2:5" ht="12.75">
      <c r="B41" s="63" t="s">
        <v>57</v>
      </c>
      <c r="D41" s="74">
        <v>6.9</v>
      </c>
      <c r="E41" s="69" t="s">
        <v>62</v>
      </c>
    </row>
    <row r="42" spans="2:4" ht="12.75">
      <c r="B42" s="63" t="s">
        <v>58</v>
      </c>
      <c r="D42" s="74">
        <f>SUM(D37:D41)</f>
        <v>26.174999999999997</v>
      </c>
    </row>
  </sheetData>
  <sheetProtection password="DC5A" sheet="1" objects="1" scenarios="1" selectLockedCells="1"/>
  <mergeCells count="1">
    <mergeCell ref="A3:G3"/>
  </mergeCells>
  <printOptions/>
  <pageMargins left="0.62" right="0.48"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3:H39"/>
  <sheetViews>
    <sheetView workbookViewId="0" topLeftCell="A1">
      <selection activeCell="D16" sqref="D16"/>
    </sheetView>
  </sheetViews>
  <sheetFormatPr defaultColWidth="11.421875" defaultRowHeight="12.75"/>
  <cols>
    <col min="1" max="1" width="4.421875" style="0" customWidth="1"/>
    <col min="5" max="5" width="15.140625" style="0" customWidth="1"/>
    <col min="6" max="6" width="15.8515625" style="0" customWidth="1"/>
  </cols>
  <sheetData>
    <row r="3" ht="12.75">
      <c r="A3" s="1" t="s">
        <v>0</v>
      </c>
    </row>
    <row r="4" ht="13.5" thickBot="1"/>
    <row r="5" spans="2:6" ht="13.5" thickBot="1">
      <c r="B5" s="5" t="s">
        <v>1</v>
      </c>
      <c r="C5" s="6"/>
      <c r="D5" s="6"/>
      <c r="E5" s="7"/>
      <c r="F5" s="14" t="s">
        <v>5</v>
      </c>
    </row>
    <row r="6" spans="1:6" ht="13.5" thickBot="1">
      <c r="A6">
        <v>1</v>
      </c>
      <c r="B6" s="80" t="s">
        <v>27</v>
      </c>
      <c r="C6" s="81"/>
      <c r="D6" s="82"/>
      <c r="E6" s="83"/>
      <c r="F6" s="84">
        <v>2</v>
      </c>
    </row>
    <row r="7" spans="1:5" ht="12.75">
      <c r="A7">
        <v>2</v>
      </c>
      <c r="B7" s="43" t="s">
        <v>25</v>
      </c>
      <c r="C7" s="46"/>
      <c r="D7" s="8"/>
      <c r="E7" s="9"/>
    </row>
    <row r="8" spans="1:5" ht="12.75">
      <c r="A8">
        <v>3</v>
      </c>
      <c r="B8" s="43" t="s">
        <v>69</v>
      </c>
      <c r="C8" s="46"/>
      <c r="D8" s="8"/>
      <c r="E8" s="9"/>
    </row>
    <row r="9" spans="1:5" ht="12.75">
      <c r="A9">
        <v>4</v>
      </c>
      <c r="B9" s="43" t="s">
        <v>26</v>
      </c>
      <c r="C9" s="46"/>
      <c r="D9" s="8"/>
      <c r="E9" s="9"/>
    </row>
    <row r="10" spans="1:5" ht="12.75">
      <c r="A10">
        <v>5</v>
      </c>
      <c r="B10" s="43" t="s">
        <v>2</v>
      </c>
      <c r="C10" s="46"/>
      <c r="D10" s="8"/>
      <c r="E10" s="9"/>
    </row>
    <row r="11" spans="1:5" ht="12.75">
      <c r="A11">
        <v>6</v>
      </c>
      <c r="B11" s="43" t="s">
        <v>3</v>
      </c>
      <c r="C11" s="46"/>
      <c r="D11" s="8"/>
      <c r="E11" s="9"/>
    </row>
    <row r="12" spans="1:5" ht="13.5" thickBot="1">
      <c r="A12">
        <v>7</v>
      </c>
      <c r="B12" s="47" t="s">
        <v>4</v>
      </c>
      <c r="C12" s="48"/>
      <c r="D12" s="10"/>
      <c r="E12" s="11"/>
    </row>
    <row r="14" ht="13.5" thickBot="1"/>
    <row r="15" spans="2:4" ht="12.75">
      <c r="B15" s="21" t="s">
        <v>6</v>
      </c>
      <c r="C15" s="12"/>
      <c r="D15" s="13"/>
    </row>
    <row r="16" spans="2:4" ht="12.75">
      <c r="B16" s="15" t="s">
        <v>7</v>
      </c>
      <c r="C16" s="16">
        <f>Berechnungsgrößen!D8</f>
        <v>1852.39</v>
      </c>
      <c r="D16" s="17"/>
    </row>
    <row r="17" spans="2:4" ht="12.75">
      <c r="B17" s="15" t="s">
        <v>8</v>
      </c>
      <c r="C17" s="16">
        <f>Berechnungsgrößen!D9</f>
        <v>1887.66</v>
      </c>
      <c r="D17" s="17"/>
    </row>
    <row r="18" spans="2:4" ht="12.75">
      <c r="B18" s="15" t="s">
        <v>9</v>
      </c>
      <c r="C18" s="16">
        <f>Berechnungsgrößen!D10</f>
        <v>2215.14</v>
      </c>
      <c r="D18" s="17"/>
    </row>
    <row r="19" spans="2:4" ht="12.75">
      <c r="B19" s="15" t="s">
        <v>70</v>
      </c>
      <c r="C19" s="16">
        <f>Berechnungsgrößen!D11</f>
        <v>2169.94</v>
      </c>
      <c r="D19" s="17"/>
    </row>
    <row r="20" spans="2:4" ht="12.75">
      <c r="B20" s="15" t="s">
        <v>11</v>
      </c>
      <c r="C20" s="16">
        <f>Berechnungsgrößen!D12</f>
        <v>2616.49</v>
      </c>
      <c r="D20" s="17"/>
    </row>
    <row r="21" spans="2:4" ht="12.75">
      <c r="B21" s="15" t="s">
        <v>10</v>
      </c>
      <c r="C21" s="16">
        <f>Berechnungsgrößen!D13</f>
        <v>2176.55</v>
      </c>
      <c r="D21" s="17"/>
    </row>
    <row r="22" spans="2:4" ht="13.5" thickBot="1">
      <c r="B22" s="18" t="s">
        <v>12</v>
      </c>
      <c r="C22" s="19">
        <f>Berechnungsgrößen!D15</f>
        <v>903.03</v>
      </c>
      <c r="D22" s="20"/>
    </row>
    <row r="23" ht="13.5" thickBot="1"/>
    <row r="24" spans="2:8" ht="12.75">
      <c r="B24" s="5" t="s">
        <v>23</v>
      </c>
      <c r="C24" s="6"/>
      <c r="D24" s="7"/>
      <c r="F24" s="23"/>
      <c r="G24" s="23"/>
      <c r="H24" s="23"/>
    </row>
    <row r="25" spans="2:8" ht="12.75">
      <c r="B25" s="30"/>
      <c r="C25" s="31" t="s">
        <v>24</v>
      </c>
      <c r="D25" s="32" t="s">
        <v>12</v>
      </c>
      <c r="F25" s="23"/>
      <c r="G25" s="23"/>
      <c r="H25" s="23"/>
    </row>
    <row r="26" spans="2:8" ht="12.75">
      <c r="B26" s="26" t="s">
        <v>7</v>
      </c>
      <c r="C26" s="71">
        <f>Berechnungsgrößen!D20</f>
        <v>1.31</v>
      </c>
      <c r="D26" s="27" t="s">
        <v>13</v>
      </c>
      <c r="F26" s="24"/>
      <c r="G26" s="23"/>
      <c r="H26" s="23"/>
    </row>
    <row r="27" spans="2:8" ht="12.75">
      <c r="B27" s="26" t="s">
        <v>8</v>
      </c>
      <c r="C27" s="71">
        <f>Berechnungsgrößen!D21</f>
        <v>2.08</v>
      </c>
      <c r="D27" s="27" t="s">
        <v>13</v>
      </c>
      <c r="F27" s="24"/>
      <c r="G27" s="23"/>
      <c r="H27" s="23"/>
    </row>
    <row r="28" spans="2:8" ht="12.75">
      <c r="B28" s="26" t="s">
        <v>9</v>
      </c>
      <c r="C28" s="71">
        <f>Berechnungsgrößen!D22</f>
        <v>1.32</v>
      </c>
      <c r="D28" s="27" t="s">
        <v>13</v>
      </c>
      <c r="F28" s="24"/>
      <c r="G28" s="23"/>
      <c r="H28" s="23"/>
    </row>
    <row r="29" spans="2:8" ht="12.75">
      <c r="B29" s="26" t="s">
        <v>70</v>
      </c>
      <c r="C29" s="71">
        <f>Berechnungsgrößen!D23</f>
        <v>1.64</v>
      </c>
      <c r="D29" s="27" t="s">
        <v>13</v>
      </c>
      <c r="F29" s="24"/>
      <c r="G29" s="23"/>
      <c r="H29" s="23"/>
    </row>
    <row r="30" spans="2:8" ht="12.75">
      <c r="B30" s="26" t="s">
        <v>14</v>
      </c>
      <c r="C30" s="71">
        <f>Berechnungsgrößen!D24</f>
        <v>1.26</v>
      </c>
      <c r="D30" s="27" t="s">
        <v>13</v>
      </c>
      <c r="F30" s="24"/>
      <c r="G30" s="23"/>
      <c r="H30" s="23"/>
    </row>
    <row r="31" spans="2:8" ht="12.75">
      <c r="B31" s="26" t="s">
        <v>15</v>
      </c>
      <c r="C31" s="71">
        <f>Berechnungsgrößen!D25</f>
        <v>1.8</v>
      </c>
      <c r="D31" s="27" t="s">
        <v>13</v>
      </c>
      <c r="F31" s="24"/>
      <c r="G31" s="23"/>
      <c r="H31" s="23"/>
    </row>
    <row r="32" spans="2:8" ht="12.75">
      <c r="B32" s="28" t="s">
        <v>16</v>
      </c>
      <c r="C32" s="71">
        <f>Berechnungsgrößen!D27</f>
        <v>2.92</v>
      </c>
      <c r="D32" s="27" t="s">
        <v>13</v>
      </c>
      <c r="F32" s="25"/>
      <c r="G32" s="23"/>
      <c r="H32" s="23"/>
    </row>
    <row r="33" spans="2:8" ht="12.75">
      <c r="B33" s="28" t="s">
        <v>17</v>
      </c>
      <c r="C33" s="71">
        <f>Berechnungsgrößen!D28</f>
        <v>3.85</v>
      </c>
      <c r="D33" s="73">
        <f>Berechnungsgrößen!E28</f>
        <v>1.81</v>
      </c>
      <c r="F33" s="25"/>
      <c r="G33" s="23"/>
      <c r="H33" s="23"/>
    </row>
    <row r="34" spans="2:8" ht="12.75">
      <c r="B34" s="28" t="s">
        <v>18</v>
      </c>
      <c r="C34" s="71">
        <f>Berechnungsgrößen!D29</f>
        <v>2.51</v>
      </c>
      <c r="D34" s="73">
        <f>Berechnungsgrößen!E29</f>
        <v>0.04</v>
      </c>
      <c r="F34" s="25"/>
      <c r="G34" s="23"/>
      <c r="H34" s="23"/>
    </row>
    <row r="35" spans="2:8" ht="12.75">
      <c r="B35" s="28" t="s">
        <v>19</v>
      </c>
      <c r="C35" s="71">
        <f>Berechnungsgrößen!D30</f>
        <v>5.39</v>
      </c>
      <c r="D35" s="73">
        <f>Berechnungsgrößen!E30</f>
        <v>5.46</v>
      </c>
      <c r="F35" s="25"/>
      <c r="G35" s="23"/>
      <c r="H35" s="23"/>
    </row>
    <row r="36" spans="2:8" ht="12.75">
      <c r="B36" s="28" t="s">
        <v>20</v>
      </c>
      <c r="C36" s="71">
        <f>Berechnungsgrößen!D31</f>
        <v>4.34</v>
      </c>
      <c r="D36" s="73">
        <f>Berechnungsgrößen!E31</f>
        <v>3.7</v>
      </c>
      <c r="F36" s="25"/>
      <c r="G36" s="23"/>
      <c r="H36" s="23"/>
    </row>
    <row r="37" spans="2:8" ht="12.75">
      <c r="B37" s="28" t="s">
        <v>21</v>
      </c>
      <c r="C37" s="71">
        <f>Berechnungsgrößen!D32</f>
        <v>6.37</v>
      </c>
      <c r="D37" s="73">
        <f>Berechnungsgrößen!E32</f>
        <v>2.42</v>
      </c>
      <c r="F37" s="25"/>
      <c r="G37" s="23"/>
      <c r="H37" s="23"/>
    </row>
    <row r="38" spans="2:8" ht="13.5" thickBot="1">
      <c r="B38" s="29" t="s">
        <v>22</v>
      </c>
      <c r="C38" s="72">
        <f>Berechnungsgrößen!D33</f>
        <v>5.29</v>
      </c>
      <c r="D38" s="22" t="s">
        <v>13</v>
      </c>
      <c r="F38" s="25"/>
      <c r="G38" s="23"/>
      <c r="H38" s="23"/>
    </row>
    <row r="39" spans="6:8" ht="12.75">
      <c r="F39" s="23"/>
      <c r="G39" s="23"/>
      <c r="H39" s="23"/>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 Kultusministerium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Sidortschuk</dc:creator>
  <cp:keywords/>
  <dc:description/>
  <cp:lastModifiedBy>MK00028</cp:lastModifiedBy>
  <cp:lastPrinted>2012-04-10T14:42:15Z</cp:lastPrinted>
  <dcterms:created xsi:type="dcterms:W3CDTF">2007-05-10T11:29:47Z</dcterms:created>
  <dcterms:modified xsi:type="dcterms:W3CDTF">2013-03-14T15:00:45Z</dcterms:modified>
  <cp:category/>
  <cp:version/>
  <cp:contentType/>
  <cp:contentStatus/>
</cp:coreProperties>
</file>